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nsulting Pathway\Coaching\2. Resources\M&amp;A Exit\"/>
    </mc:Choice>
  </mc:AlternateContent>
  <xr:revisionPtr revIDLastSave="0" documentId="8_{00D795BF-F0D3-42C9-8061-67CEB703B8B7}" xr6:coauthVersionLast="47" xr6:coauthVersionMax="47" xr10:uidLastSave="{00000000-0000-0000-0000-000000000000}"/>
  <bookViews>
    <workbookView xWindow="28680" yWindow="75" windowWidth="29040" windowHeight="15720" activeTab="1" xr2:uid="{00B242B2-3A21-4063-9196-4AF67208AC1E}"/>
  </bookViews>
  <sheets>
    <sheet name="Fee Calculations" sheetId="1" r:id="rId1"/>
    <sheet name="Comparisons" sheetId="2" r:id="rId2"/>
    <sheet name="Comparis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F18" i="3"/>
  <c r="F16" i="3"/>
  <c r="F14" i="3"/>
  <c r="F13" i="3"/>
  <c r="F12" i="3"/>
  <c r="I7" i="3"/>
  <c r="P6" i="3"/>
  <c r="P7" i="3" s="1"/>
  <c r="L9" i="3" s="1"/>
  <c r="L4" i="3"/>
  <c r="L7" i="3"/>
  <c r="I4" i="3"/>
  <c r="F7" i="3"/>
  <c r="AE17" i="1"/>
  <c r="AE14" i="1"/>
  <c r="AE20" i="1"/>
  <c r="H8" i="1"/>
  <c r="H14" i="1"/>
  <c r="Z16" i="1"/>
  <c r="Z14" i="1"/>
  <c r="Z41" i="1"/>
  <c r="P45" i="1"/>
  <c r="P41" i="1"/>
  <c r="F41" i="1"/>
  <c r="Z35" i="1"/>
  <c r="P35" i="1"/>
  <c r="F35" i="1"/>
  <c r="M28" i="2"/>
  <c r="L28" i="2"/>
  <c r="K28" i="2"/>
  <c r="I8" i="3" l="1"/>
  <c r="F9" i="3"/>
  <c r="I9" i="3"/>
  <c r="F8" i="3"/>
  <c r="L8" i="3"/>
  <c r="L10" i="3" s="1"/>
  <c r="C22" i="2"/>
  <c r="C20" i="2"/>
  <c r="C18" i="2"/>
  <c r="C16" i="2"/>
  <c r="C14" i="2"/>
  <c r="C12" i="2"/>
  <c r="C10" i="2"/>
  <c r="C8" i="2"/>
  <c r="C6" i="2"/>
  <c r="Z8" i="1"/>
  <c r="Z22" i="1" s="1"/>
  <c r="Z32" i="1"/>
  <c r="Z34" i="1"/>
  <c r="X14" i="1"/>
  <c r="Z6" i="1"/>
  <c r="P6" i="1"/>
  <c r="Q14" i="1"/>
  <c r="AA14" i="1" s="1"/>
  <c r="AB14" i="1" s="1"/>
  <c r="P34" i="1"/>
  <c r="P32" i="1"/>
  <c r="P30" i="1"/>
  <c r="P29" i="1"/>
  <c r="P28" i="1"/>
  <c r="P22" i="1"/>
  <c r="N14" i="1"/>
  <c r="F32" i="1"/>
  <c r="F30" i="1"/>
  <c r="F29" i="1"/>
  <c r="F28" i="1"/>
  <c r="F22" i="1"/>
  <c r="I14" i="1"/>
  <c r="D14" i="1"/>
  <c r="F10" i="3" l="1"/>
  <c r="I10" i="3"/>
  <c r="I16" i="1"/>
  <c r="F16" i="1" s="1"/>
  <c r="F14" i="1"/>
  <c r="R14" i="1"/>
  <c r="S16" i="1" s="1"/>
  <c r="P16" i="1" s="1"/>
  <c r="AC16" i="1"/>
  <c r="F34" i="1"/>
  <c r="I18" i="1"/>
  <c r="F18" i="1" s="1"/>
  <c r="F23" i="1" l="1"/>
  <c r="F25" i="1" s="1"/>
  <c r="AC18" i="1"/>
  <c r="Z18" i="1" s="1"/>
  <c r="Z23" i="1" s="1"/>
  <c r="Z25" i="1" s="1"/>
  <c r="Z37" i="1" s="1"/>
  <c r="S14" i="1"/>
  <c r="P14" i="1" s="1"/>
  <c r="F37" i="1" l="1"/>
  <c r="P23" i="1"/>
  <c r="P25" i="1" s="1"/>
  <c r="P37" i="1" s="1"/>
</calcChain>
</file>

<file path=xl/sharedStrings.xml><?xml version="1.0" encoding="utf-8"?>
<sst xmlns="http://schemas.openxmlformats.org/spreadsheetml/2006/main" count="106" uniqueCount="73">
  <si>
    <t>Corporate  Finance Fee Comparisons</t>
  </si>
  <si>
    <t>£</t>
  </si>
  <si>
    <t>BDO</t>
  </si>
  <si>
    <t>Rothschild</t>
  </si>
  <si>
    <t>Equiteq</t>
  </si>
  <si>
    <t>Assumed EBITDA</t>
  </si>
  <si>
    <t xml:space="preserve">No Months in Process </t>
  </si>
  <si>
    <t>Retainer</t>
  </si>
  <si>
    <t>Retainer per Month</t>
  </si>
  <si>
    <t>Min Success Fee</t>
  </si>
  <si>
    <t>Min Fee in the Base Calc for Up To £23.75</t>
  </si>
  <si>
    <t>Min Base = £550K</t>
  </si>
  <si>
    <t>Mult</t>
  </si>
  <si>
    <t>EV</t>
  </si>
  <si>
    <t>Ratchet Fees</t>
  </si>
  <si>
    <t>Achieved</t>
  </si>
  <si>
    <t>£26.4-29.7M</t>
  </si>
  <si>
    <t>£25-30M</t>
  </si>
  <si>
    <t>Up to 23.75</t>
  </si>
  <si>
    <t>£29.7M  to a 10X Mult</t>
  </si>
  <si>
    <t>&gt;£30M</t>
  </si>
  <si>
    <t>23.75 to 27.5</t>
  </si>
  <si>
    <t>10X Mult Plus</t>
  </si>
  <si>
    <t>&gt; 27.5</t>
  </si>
  <si>
    <t>Corp Finance Fee Structure</t>
  </si>
  <si>
    <t>At Risk</t>
  </si>
  <si>
    <t>Variable on Completion</t>
  </si>
  <si>
    <t>Total Corp Finance Fees</t>
  </si>
  <si>
    <t>Other Costs</t>
  </si>
  <si>
    <t>VDD</t>
  </si>
  <si>
    <t>175 o 350</t>
  </si>
  <si>
    <t>Financial VDD</t>
  </si>
  <si>
    <t>100 to 300</t>
  </si>
  <si>
    <t>Model Build</t>
  </si>
  <si>
    <t>5 to 35</t>
  </si>
  <si>
    <t>Commercial VDD</t>
  </si>
  <si>
    <t>150 to 300</t>
  </si>
  <si>
    <t>Customer Ref</t>
  </si>
  <si>
    <t>12 to 50</t>
  </si>
  <si>
    <t>Tax VDD</t>
  </si>
  <si>
    <t>50 to 100</t>
  </si>
  <si>
    <t>Legal</t>
  </si>
  <si>
    <t>100 to 200</t>
  </si>
  <si>
    <t>Total Other costs</t>
  </si>
  <si>
    <t>Budget</t>
  </si>
  <si>
    <t>TOTAL Transaction Costs</t>
  </si>
  <si>
    <t>Directors</t>
  </si>
  <si>
    <t>DT</t>
  </si>
  <si>
    <t>JM</t>
  </si>
  <si>
    <t>Multiple</t>
  </si>
  <si>
    <t>Roths</t>
  </si>
  <si>
    <t>VDD costs</t>
  </si>
  <si>
    <t>Base Fee</t>
  </si>
  <si>
    <t>Value</t>
  </si>
  <si>
    <t>9 to 10</t>
  </si>
  <si>
    <t>&gt; 10</t>
  </si>
  <si>
    <t>8.5 - 10</t>
  </si>
  <si>
    <t>&gt;10</t>
  </si>
  <si>
    <t>"&gt; 8"</t>
  </si>
  <si>
    <t>"&lt;8.5"</t>
  </si>
  <si>
    <t>EBITA Multiplier</t>
  </si>
  <si>
    <t>Months</t>
  </si>
  <si>
    <t>"&lt;9.0"</t>
  </si>
  <si>
    <t>Proposed to Equiteq</t>
  </si>
  <si>
    <t>"9 to 10"</t>
  </si>
  <si>
    <t>cap</t>
  </si>
  <si>
    <t>Additional Multiplier</t>
  </si>
  <si>
    <t>Enhancement</t>
  </si>
  <si>
    <t>Additional</t>
  </si>
  <si>
    <t>Base</t>
  </si>
  <si>
    <t>Total</t>
  </si>
  <si>
    <t>Emhancement</t>
  </si>
  <si>
    <t>Base 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</si>
</sst>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"/>
    <numFmt numFmtId="166" formatCode="_-[$£-809]* #,##0.00_-;\-[$£-809]* #,##0.00_-;_-[$£-809]* &quot;-&quot;??_-;_-@_-"/>
    <numFmt numFmtId="167" formatCode="_-&quot;£&quot;* #,##0_-;\-&quot;£&quot;* #,##0_-;_-&quot;£&quot;* &quot;-&quot;??_-;_-@_-"/>
    <numFmt numFmtId="168" formatCode="_-[$£-809]* #,##0_-;\-[$£-809]* #,##0_-;_-[$£-809]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2" borderId="0" xfId="0" applyFill="1"/>
    <xf numFmtId="3" fontId="0" fillId="3" borderId="0" xfId="0" applyNumberFormat="1" applyFill="1"/>
    <xf numFmtId="0" fontId="0" fillId="3" borderId="0" xfId="0" applyFill="1"/>
    <xf numFmtId="0" fontId="0" fillId="4" borderId="0" xfId="0" applyFill="1"/>
    <xf numFmtId="3" fontId="0" fillId="4" borderId="0" xfId="0" applyNumberFormat="1" applyFill="1"/>
    <xf numFmtId="165" fontId="0" fillId="0" borderId="0" xfId="0" applyNumberFormat="1"/>
    <xf numFmtId="0" fontId="0" fillId="0" borderId="0" xfId="0" applyAlignment="1">
      <alignment horizontal="center"/>
    </xf>
    <xf numFmtId="165" fontId="0" fillId="3" borderId="0" xfId="0" applyNumberFormat="1" applyFill="1"/>
    <xf numFmtId="0" fontId="0" fillId="5" borderId="0" xfId="0" applyFill="1"/>
    <xf numFmtId="3" fontId="0" fillId="5" borderId="0" xfId="0" applyNumberFormat="1" applyFill="1"/>
    <xf numFmtId="164" fontId="0" fillId="2" borderId="0" xfId="0" applyNumberFormat="1" applyFill="1"/>
    <xf numFmtId="166" fontId="0" fillId="0" borderId="0" xfId="0" applyNumberFormat="1"/>
    <xf numFmtId="43" fontId="0" fillId="0" borderId="0" xfId="1" applyFont="1"/>
    <xf numFmtId="43" fontId="0" fillId="0" borderId="0" xfId="0" applyNumberFormat="1"/>
    <xf numFmtId="44" fontId="0" fillId="0" borderId="0" xfId="2" applyFont="1"/>
    <xf numFmtId="167" fontId="0" fillId="0" borderId="0" xfId="2" applyNumberFormat="1" applyFont="1"/>
    <xf numFmtId="168" fontId="0" fillId="0" borderId="0" xfId="0" applyNumberFormat="1"/>
    <xf numFmtId="0" fontId="0" fillId="0" borderId="1" xfId="0" applyBorder="1" applyAlignment="1">
      <alignment horizontal="center"/>
    </xf>
    <xf numFmtId="16" fontId="0" fillId="0" borderId="0" xfId="0" applyNumberFormat="1" applyAlignment="1">
      <alignment horizontal="center"/>
    </xf>
    <xf numFmtId="166" fontId="0" fillId="0" borderId="1" xfId="0" applyNumberFormat="1" applyBorder="1"/>
    <xf numFmtId="9" fontId="0" fillId="2" borderId="1" xfId="0" applyNumberFormat="1" applyFill="1" applyBorder="1"/>
    <xf numFmtId="10" fontId="0" fillId="2" borderId="1" xfId="0" applyNumberFormat="1" applyFill="1" applyBorder="1"/>
    <xf numFmtId="0" fontId="0" fillId="0" borderId="1" xfId="0" applyBorder="1"/>
    <xf numFmtId="6" fontId="0" fillId="0" borderId="1" xfId="0" applyNumberFormat="1" applyBorder="1"/>
    <xf numFmtId="0" fontId="0" fillId="0" borderId="5" xfId="0" applyBorder="1"/>
    <xf numFmtId="166" fontId="0" fillId="0" borderId="5" xfId="0" applyNumberFormat="1" applyBorder="1"/>
    <xf numFmtId="16" fontId="0" fillId="0" borderId="1" xfId="0" applyNumberFormat="1" applyBorder="1" applyAlignment="1">
      <alignment horizontal="center"/>
    </xf>
    <xf numFmtId="6" fontId="0" fillId="6" borderId="0" xfId="0" applyNumberFormat="1" applyFill="1"/>
    <xf numFmtId="166" fontId="0" fillId="6" borderId="0" xfId="0" applyNumberFormat="1" applyFill="1"/>
    <xf numFmtId="44" fontId="0" fillId="2" borderId="1" xfId="2" applyFont="1" applyFill="1" applyBorder="1"/>
    <xf numFmtId="0" fontId="0" fillId="2" borderId="1" xfId="0" applyFill="1" applyBorder="1"/>
    <xf numFmtId="167" fontId="0" fillId="0" borderId="0" xfId="0" applyNumberFormat="1"/>
    <xf numFmtId="167" fontId="0" fillId="7" borderId="0" xfId="2" applyNumberFormat="1" applyFont="1" applyFill="1"/>
    <xf numFmtId="168" fontId="0" fillId="7" borderId="0" xfId="0" applyNumberForma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65EA-3549-4E2F-A250-1025DD52A6AC}">
  <dimension ref="A1:AE45"/>
  <sheetViews>
    <sheetView topLeftCell="A4" zoomScale="70" zoomScaleNormal="70" workbookViewId="0">
      <selection activeCell="V28" sqref="V28"/>
    </sheetView>
  </sheetViews>
  <sheetFormatPr defaultRowHeight="14.5" x14ac:dyDescent="0.35"/>
  <cols>
    <col min="4" max="4" width="10.453125" bestFit="1" customWidth="1"/>
    <col min="6" max="6" width="18.26953125" customWidth="1"/>
    <col min="8" max="8" width="15" bestFit="1" customWidth="1"/>
    <col min="9" max="9" width="10.90625" bestFit="1" customWidth="1"/>
    <col min="10" max="10" width="1.36328125" style="4" customWidth="1"/>
    <col min="16" max="16" width="13.36328125" bestFit="1" customWidth="1"/>
    <col min="18" max="19" width="11.36328125" customWidth="1"/>
    <col min="20" max="20" width="2" style="4" customWidth="1"/>
    <col min="23" max="23" width="10.90625" customWidth="1"/>
    <col min="24" max="24" width="10.453125" bestFit="1" customWidth="1"/>
    <col min="26" max="26" width="23.1796875" customWidth="1"/>
    <col min="28" max="28" width="11.81640625" bestFit="1" customWidth="1"/>
    <col min="29" max="29" width="18.7265625" customWidth="1"/>
    <col min="31" max="31" width="18.08984375" customWidth="1"/>
  </cols>
  <sheetData>
    <row r="1" spans="1:31" x14ac:dyDescent="0.35">
      <c r="A1" t="s">
        <v>0</v>
      </c>
    </row>
    <row r="2" spans="1:31" x14ac:dyDescent="0.35">
      <c r="A2" t="s">
        <v>1</v>
      </c>
    </row>
    <row r="4" spans="1:31" x14ac:dyDescent="0.35">
      <c r="F4" t="s">
        <v>2</v>
      </c>
      <c r="H4" s="1"/>
      <c r="O4" t="s">
        <v>3</v>
      </c>
      <c r="Y4" t="s">
        <v>4</v>
      </c>
    </row>
    <row r="6" spans="1:31" x14ac:dyDescent="0.35">
      <c r="B6" t="s">
        <v>5</v>
      </c>
      <c r="F6" s="5">
        <v>3300000</v>
      </c>
      <c r="H6" s="16">
        <v>26400000</v>
      </c>
      <c r="P6" s="1">
        <f>F6</f>
        <v>3300000</v>
      </c>
      <c r="Z6" s="1">
        <f>P6</f>
        <v>3300000</v>
      </c>
      <c r="AE6" s="16">
        <v>2800000</v>
      </c>
    </row>
    <row r="7" spans="1:31" x14ac:dyDescent="0.35">
      <c r="V7" t="s">
        <v>6</v>
      </c>
      <c r="X7" s="4">
        <v>8.5</v>
      </c>
    </row>
    <row r="8" spans="1:31" x14ac:dyDescent="0.35">
      <c r="B8" t="s">
        <v>7</v>
      </c>
      <c r="F8">
        <v>30000</v>
      </c>
      <c r="H8" s="17">
        <f>H6/F6</f>
        <v>8</v>
      </c>
      <c r="P8">
        <v>50000</v>
      </c>
      <c r="V8" t="s">
        <v>8</v>
      </c>
      <c r="X8">
        <v>15000</v>
      </c>
      <c r="Z8">
        <f>X7*X8</f>
        <v>127500</v>
      </c>
    </row>
    <row r="10" spans="1:31" x14ac:dyDescent="0.35">
      <c r="B10" t="s">
        <v>9</v>
      </c>
      <c r="F10">
        <v>400000</v>
      </c>
      <c r="P10">
        <v>650000</v>
      </c>
      <c r="V10" t="s">
        <v>10</v>
      </c>
    </row>
    <row r="11" spans="1:31" x14ac:dyDescent="0.35">
      <c r="V11" t="s">
        <v>11</v>
      </c>
    </row>
    <row r="12" spans="1:31" x14ac:dyDescent="0.35">
      <c r="G12" t="s">
        <v>12</v>
      </c>
      <c r="H12" t="s">
        <v>13</v>
      </c>
      <c r="Q12" t="s">
        <v>12</v>
      </c>
      <c r="R12" t="s">
        <v>13</v>
      </c>
      <c r="AA12" t="s">
        <v>12</v>
      </c>
      <c r="AB12" t="s">
        <v>13</v>
      </c>
    </row>
    <row r="13" spans="1:31" x14ac:dyDescent="0.35">
      <c r="B13" t="s">
        <v>14</v>
      </c>
      <c r="G13" t="s">
        <v>15</v>
      </c>
      <c r="Q13" t="s">
        <v>15</v>
      </c>
      <c r="AA13" t="s">
        <v>15</v>
      </c>
    </row>
    <row r="14" spans="1:31" x14ac:dyDescent="0.35">
      <c r="B14" t="s">
        <v>16</v>
      </c>
      <c r="D14" s="1">
        <f>29700000-26400000</f>
        <v>3300000</v>
      </c>
      <c r="E14" s="14">
        <v>0.05</v>
      </c>
      <c r="F14" s="1">
        <f>IF(H14&gt;26400000,(I14-26400000)*E14,0)</f>
        <v>165000</v>
      </c>
      <c r="G14" s="6">
        <v>9</v>
      </c>
      <c r="H14" s="1">
        <f>G14*F6</f>
        <v>29700000</v>
      </c>
      <c r="I14" s="1">
        <f>IF(H14&gt;29700000,29700000,H14)</f>
        <v>29700000</v>
      </c>
      <c r="L14" t="s">
        <v>17</v>
      </c>
      <c r="N14" s="1">
        <f>29700000-26400000</f>
        <v>3300000</v>
      </c>
      <c r="O14" s="14">
        <v>0.03</v>
      </c>
      <c r="P14" s="1">
        <f>IF(R14&gt;25000000,(S14-25000000)*O14,0)</f>
        <v>141000</v>
      </c>
      <c r="Q14">
        <f>G14</f>
        <v>9</v>
      </c>
      <c r="R14" s="1">
        <f>Q14*P6</f>
        <v>29700000</v>
      </c>
      <c r="S14" s="1">
        <f>IF(R14&gt;30000000,30000000,R14)</f>
        <v>29700000</v>
      </c>
      <c r="V14" t="s">
        <v>18</v>
      </c>
      <c r="X14" s="1">
        <f>29700000-26400000</f>
        <v>3300000</v>
      </c>
      <c r="Y14" s="14">
        <v>2.5000000000000001E-2</v>
      </c>
      <c r="Z14" s="1">
        <f>IF(AB14&lt;AC14,AB14*Y14,Y14*AC14)</f>
        <v>593750</v>
      </c>
      <c r="AA14">
        <f>Q14</f>
        <v>9</v>
      </c>
      <c r="AB14" s="1">
        <f>AA14*Z6</f>
        <v>29700000</v>
      </c>
      <c r="AC14" s="1">
        <v>23750000</v>
      </c>
      <c r="AE14" s="17">
        <f>AC14/AE6</f>
        <v>8.4821428571428577</v>
      </c>
    </row>
    <row r="15" spans="1:31" x14ac:dyDescent="0.35">
      <c r="F15" s="1"/>
      <c r="P15" s="1"/>
      <c r="Z15" s="1"/>
    </row>
    <row r="16" spans="1:31" x14ac:dyDescent="0.35">
      <c r="B16" t="s">
        <v>19</v>
      </c>
      <c r="E16" s="14">
        <v>7.4999999999999997E-2</v>
      </c>
      <c r="F16" s="1">
        <f>IF(I16&gt;0,I16*E16,0)</f>
        <v>0</v>
      </c>
      <c r="I16" s="1">
        <f>IF(G14&gt;10,(F6*10)-I14,H14-I14)</f>
        <v>0</v>
      </c>
      <c r="L16" t="s">
        <v>20</v>
      </c>
      <c r="O16" s="14">
        <v>0.05</v>
      </c>
      <c r="P16" s="1">
        <f>O16*S16</f>
        <v>0</v>
      </c>
      <c r="S16" s="1">
        <f>IF(R14&gt;30000000,R14-30000000,0)</f>
        <v>0</v>
      </c>
      <c r="V16" t="s">
        <v>21</v>
      </c>
      <c r="Y16" s="14">
        <v>0.06</v>
      </c>
      <c r="Z16" s="1">
        <f>IF(AC16&gt;0,Y16*AC16,0)</f>
        <v>225000</v>
      </c>
      <c r="AC16" s="1">
        <f>IF(AB14&lt;27500000,(AB14-AC14),(27500000-AC14))</f>
        <v>3750000</v>
      </c>
      <c r="AE16">
        <v>27500000</v>
      </c>
    </row>
    <row r="17" spans="2:31" x14ac:dyDescent="0.35">
      <c r="I17" s="1"/>
      <c r="AE17" s="17">
        <f>AE16/AE6</f>
        <v>9.8214285714285712</v>
      </c>
    </row>
    <row r="18" spans="2:31" x14ac:dyDescent="0.35">
      <c r="B18" t="s">
        <v>22</v>
      </c>
      <c r="E18" s="14">
        <v>0.1</v>
      </c>
      <c r="F18" s="1">
        <f>E18*I18</f>
        <v>0</v>
      </c>
      <c r="I18" s="1">
        <f>IF(G14&gt;10,(H14-(F6*10)),0)</f>
        <v>0</v>
      </c>
      <c r="O18" s="2"/>
      <c r="P18" s="1"/>
      <c r="V18" t="s">
        <v>23</v>
      </c>
      <c r="Y18" s="14">
        <v>0.12</v>
      </c>
      <c r="Z18" s="1">
        <f>Y18*AC18</f>
        <v>264000</v>
      </c>
      <c r="AC18">
        <f>IF(AB14&gt;27500000,AB14-AC14-AC16,0)</f>
        <v>2200000</v>
      </c>
    </row>
    <row r="19" spans="2:31" x14ac:dyDescent="0.35">
      <c r="I19" s="1"/>
      <c r="AE19">
        <v>2750000</v>
      </c>
    </row>
    <row r="20" spans="2:31" x14ac:dyDescent="0.35">
      <c r="B20" t="s">
        <v>24</v>
      </c>
      <c r="AE20">
        <f>AE19/Z6</f>
        <v>0.83333333333333337</v>
      </c>
    </row>
    <row r="22" spans="2:31" x14ac:dyDescent="0.35">
      <c r="C22" t="s">
        <v>25</v>
      </c>
      <c r="F22" s="1">
        <f>F8</f>
        <v>30000</v>
      </c>
      <c r="P22" s="1">
        <f>P8</f>
        <v>50000</v>
      </c>
      <c r="Z22" s="1">
        <f>Z8</f>
        <v>127500</v>
      </c>
    </row>
    <row r="23" spans="2:31" x14ac:dyDescent="0.35">
      <c r="C23" t="s">
        <v>26</v>
      </c>
      <c r="F23" s="1">
        <f>F10+F14+F18+F16</f>
        <v>565000</v>
      </c>
      <c r="P23" s="1">
        <f>P10+P14+P18+P16</f>
        <v>791000</v>
      </c>
      <c r="Z23" s="1">
        <f>Z10+Z14+Z18+Z16</f>
        <v>1082750</v>
      </c>
    </row>
    <row r="25" spans="2:31" x14ac:dyDescent="0.35">
      <c r="B25" s="7" t="s">
        <v>27</v>
      </c>
      <c r="C25" s="7"/>
      <c r="D25" s="7"/>
      <c r="E25" s="7"/>
      <c r="F25" s="8">
        <f>F22+F23</f>
        <v>595000</v>
      </c>
      <c r="G25" s="7"/>
      <c r="H25" s="7"/>
      <c r="I25" s="7"/>
      <c r="J25" s="7"/>
      <c r="K25" s="7"/>
      <c r="L25" s="7"/>
      <c r="M25" s="7"/>
      <c r="N25" s="7"/>
      <c r="O25" s="7"/>
      <c r="P25" s="8">
        <f>P22+P23</f>
        <v>841000</v>
      </c>
      <c r="Q25" s="7"/>
      <c r="R25" s="7"/>
      <c r="S25" s="7"/>
      <c r="T25" s="7"/>
      <c r="U25" s="7"/>
      <c r="V25" s="7"/>
      <c r="W25" s="7"/>
      <c r="X25" s="7"/>
      <c r="Y25" s="7"/>
      <c r="Z25" s="8">
        <f>Z22+Z23</f>
        <v>1210250</v>
      </c>
    </row>
    <row r="27" spans="2:31" x14ac:dyDescent="0.35">
      <c r="B27" t="s">
        <v>28</v>
      </c>
    </row>
    <row r="28" spans="2:31" x14ac:dyDescent="0.35">
      <c r="B28" t="s">
        <v>29</v>
      </c>
      <c r="D28" t="s">
        <v>30</v>
      </c>
      <c r="F28" s="19">
        <f>(175000+350000)/2</f>
        <v>262500</v>
      </c>
      <c r="N28" t="s">
        <v>30</v>
      </c>
      <c r="P28" s="19">
        <f>(175000+350000)/2</f>
        <v>262500</v>
      </c>
      <c r="V28" t="s">
        <v>31</v>
      </c>
      <c r="X28" t="s">
        <v>32</v>
      </c>
      <c r="Z28" s="20">
        <v>200000</v>
      </c>
    </row>
    <row r="29" spans="2:31" x14ac:dyDescent="0.35">
      <c r="B29" t="s">
        <v>33</v>
      </c>
      <c r="D29" s="3" t="s">
        <v>34</v>
      </c>
      <c r="F29" s="19">
        <f>(5000+35000)/2</f>
        <v>20000</v>
      </c>
      <c r="N29" s="3" t="s">
        <v>34</v>
      </c>
      <c r="P29" s="19">
        <f>(5000+35000)/2</f>
        <v>20000</v>
      </c>
      <c r="V29" t="s">
        <v>35</v>
      </c>
      <c r="X29" s="3" t="s">
        <v>36</v>
      </c>
      <c r="Z29" s="20">
        <v>225000</v>
      </c>
    </row>
    <row r="30" spans="2:31" x14ac:dyDescent="0.35">
      <c r="B30" t="s">
        <v>37</v>
      </c>
      <c r="D30" t="s">
        <v>38</v>
      </c>
      <c r="F30" s="19">
        <f>(12000+50000)/2</f>
        <v>31000</v>
      </c>
      <c r="N30" t="s">
        <v>38</v>
      </c>
      <c r="P30" s="19">
        <f>(12000+50000)/2</f>
        <v>31000</v>
      </c>
      <c r="V30" t="s">
        <v>39</v>
      </c>
      <c r="X30" t="s">
        <v>40</v>
      </c>
      <c r="Z30" s="20">
        <v>75000</v>
      </c>
    </row>
    <row r="32" spans="2:31" x14ac:dyDescent="0.35">
      <c r="B32" t="s">
        <v>41</v>
      </c>
      <c r="D32" t="s">
        <v>42</v>
      </c>
      <c r="F32" s="18">
        <f>(100000+200000)/2</f>
        <v>150000</v>
      </c>
      <c r="N32" t="s">
        <v>42</v>
      </c>
      <c r="P32">
        <f>(100000+200000)/2</f>
        <v>150000</v>
      </c>
      <c r="V32" t="s">
        <v>41</v>
      </c>
      <c r="X32" t="s">
        <v>42</v>
      </c>
      <c r="Z32" s="20">
        <f>(100000+200000)/2</f>
        <v>150000</v>
      </c>
    </row>
    <row r="34" spans="2:26" x14ac:dyDescent="0.35">
      <c r="C34" t="s">
        <v>43</v>
      </c>
      <c r="F34">
        <f>SUM(F28:F32)</f>
        <v>463500</v>
      </c>
      <c r="P34">
        <f>SUM(P28:P32)</f>
        <v>463500</v>
      </c>
      <c r="Z34">
        <f>SUM(Z28:Z32)</f>
        <v>650000</v>
      </c>
    </row>
    <row r="35" spans="2:26" x14ac:dyDescent="0.35">
      <c r="C35" t="s">
        <v>44</v>
      </c>
      <c r="F35" s="1">
        <f>SUM(F34,F22)</f>
        <v>493500</v>
      </c>
      <c r="P35" s="1">
        <f>SUM(P34,P22)</f>
        <v>513500</v>
      </c>
      <c r="Z35" s="1">
        <f>SUM(Z34,Z22)</f>
        <v>777500</v>
      </c>
    </row>
    <row r="37" spans="2:26" x14ac:dyDescent="0.35">
      <c r="B37" s="7" t="s">
        <v>45</v>
      </c>
      <c r="C37" s="7"/>
      <c r="D37" s="7"/>
      <c r="E37" s="7"/>
      <c r="F37" s="8">
        <f>F25+F34</f>
        <v>1058500</v>
      </c>
      <c r="G37" s="7"/>
      <c r="H37" s="7"/>
      <c r="I37" s="7"/>
      <c r="J37" s="7"/>
      <c r="K37" s="7"/>
      <c r="L37" s="7"/>
      <c r="M37" s="7"/>
      <c r="N37" s="7"/>
      <c r="O37" s="7"/>
      <c r="P37" s="8">
        <f>P25+P34</f>
        <v>1304500</v>
      </c>
      <c r="Q37" s="7"/>
      <c r="R37" s="7"/>
      <c r="S37" s="7"/>
      <c r="T37" s="7"/>
      <c r="U37" s="7"/>
      <c r="V37" s="7"/>
      <c r="W37" s="7"/>
      <c r="X37" s="7"/>
      <c r="Y37" s="7"/>
      <c r="Z37" s="8">
        <f>Z25+Z34</f>
        <v>1860250</v>
      </c>
    </row>
    <row r="38" spans="2:26" x14ac:dyDescent="0.35">
      <c r="C38" t="s">
        <v>46</v>
      </c>
      <c r="F38">
        <v>50000</v>
      </c>
      <c r="P38">
        <v>50000</v>
      </c>
      <c r="Z38" s="15">
        <v>50000</v>
      </c>
    </row>
    <row r="39" spans="2:26" x14ac:dyDescent="0.35">
      <c r="C39" t="s">
        <v>47</v>
      </c>
      <c r="F39">
        <v>48000</v>
      </c>
      <c r="P39">
        <v>48000</v>
      </c>
      <c r="Z39" s="15">
        <v>48000</v>
      </c>
    </row>
    <row r="40" spans="2:26" x14ac:dyDescent="0.35">
      <c r="C40" t="s">
        <v>48</v>
      </c>
      <c r="F40">
        <v>24000</v>
      </c>
      <c r="P40">
        <v>24000</v>
      </c>
      <c r="Z40" s="15">
        <v>24000</v>
      </c>
    </row>
    <row r="41" spans="2:26" x14ac:dyDescent="0.35">
      <c r="F41" s="1">
        <f>SUM(F35,F39:F40,F38)</f>
        <v>615500</v>
      </c>
      <c r="P41" s="1">
        <f>SUM(P35,P39:P40,P38)</f>
        <v>635500</v>
      </c>
      <c r="Z41" s="1">
        <f>SUM(Z35,Z39:Z40,Z38)</f>
        <v>899500</v>
      </c>
    </row>
    <row r="44" spans="2:26" x14ac:dyDescent="0.35">
      <c r="P44">
        <v>300</v>
      </c>
    </row>
    <row r="45" spans="2:26" x14ac:dyDescent="0.35">
      <c r="P45">
        <f>P44/13</f>
        <v>23.076923076923077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  <headerFooter>
    <oddHeader>&amp;C&amp;"Calibri"&amp;10&amp;K000000 CAPACITAS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38A4-3642-4372-BE8E-44116CE90D25}">
  <dimension ref="A4:O29"/>
  <sheetViews>
    <sheetView tabSelected="1" workbookViewId="0">
      <selection activeCell="M16" sqref="M16"/>
    </sheetView>
  </sheetViews>
  <sheetFormatPr defaultRowHeight="14.5" x14ac:dyDescent="0.35"/>
  <cols>
    <col min="3" max="3" width="20.6328125" customWidth="1"/>
    <col min="4" max="4" width="4.36328125" customWidth="1"/>
    <col min="11" max="13" width="15.6328125" customWidth="1"/>
  </cols>
  <sheetData>
    <row r="4" spans="1:15" x14ac:dyDescent="0.35">
      <c r="B4" s="10" t="s">
        <v>49</v>
      </c>
      <c r="C4" s="10" t="s">
        <v>13</v>
      </c>
      <c r="D4" s="10"/>
      <c r="K4" s="10" t="s">
        <v>2</v>
      </c>
      <c r="L4" s="10" t="s">
        <v>50</v>
      </c>
      <c r="M4" s="10" t="s">
        <v>4</v>
      </c>
    </row>
    <row r="6" spans="1:15" x14ac:dyDescent="0.35">
      <c r="A6" s="6"/>
      <c r="B6" s="11">
        <v>8</v>
      </c>
      <c r="C6" s="5">
        <f>B6*'Fee Calculations'!$F$6</f>
        <v>26400000</v>
      </c>
      <c r="D6" s="5"/>
      <c r="E6" s="6" t="s">
        <v>27</v>
      </c>
      <c r="F6" s="6"/>
      <c r="G6" s="6"/>
      <c r="H6" s="6"/>
      <c r="I6" s="6"/>
      <c r="J6" s="6"/>
      <c r="K6" s="5">
        <v>430000</v>
      </c>
      <c r="L6" s="5">
        <v>742000</v>
      </c>
      <c r="M6" s="5">
        <v>880250</v>
      </c>
      <c r="N6" s="6"/>
      <c r="O6" s="6"/>
    </row>
    <row r="7" spans="1:15" x14ac:dyDescent="0.35">
      <c r="A7" s="6"/>
      <c r="B7" s="11"/>
      <c r="C7" s="5"/>
      <c r="D7" s="5"/>
      <c r="E7" s="6"/>
      <c r="F7" s="6"/>
      <c r="G7" s="6"/>
      <c r="H7" s="6"/>
      <c r="I7" s="6"/>
      <c r="J7" s="6"/>
      <c r="K7" s="5"/>
      <c r="L7" s="5"/>
      <c r="M7" s="5"/>
      <c r="N7" s="6"/>
      <c r="O7" s="6"/>
    </row>
    <row r="8" spans="1:15" x14ac:dyDescent="0.35">
      <c r="A8" s="6"/>
      <c r="B8" s="11">
        <v>8.5</v>
      </c>
      <c r="C8" s="5">
        <f>B8*'Fee Calculations'!$F$6</f>
        <v>28050000</v>
      </c>
      <c r="D8" s="5"/>
      <c r="E8" s="6" t="s">
        <v>27</v>
      </c>
      <c r="F8" s="6"/>
      <c r="G8" s="6"/>
      <c r="H8" s="6"/>
      <c r="I8" s="6"/>
      <c r="J8" s="6"/>
      <c r="K8" s="5">
        <v>512500</v>
      </c>
      <c r="L8" s="5">
        <v>791500</v>
      </c>
      <c r="M8" s="5">
        <v>1012250</v>
      </c>
      <c r="N8" s="6"/>
      <c r="O8" s="6"/>
    </row>
    <row r="9" spans="1:15" x14ac:dyDescent="0.35">
      <c r="A9" s="6"/>
      <c r="B9" s="11"/>
      <c r="C9" s="5"/>
      <c r="D9" s="5"/>
      <c r="E9" s="6"/>
      <c r="F9" s="6"/>
      <c r="G9" s="6"/>
      <c r="H9" s="6"/>
      <c r="I9" s="6"/>
      <c r="J9" s="6"/>
      <c r="K9" s="5"/>
      <c r="L9" s="5"/>
      <c r="M9" s="5"/>
      <c r="N9" s="6"/>
      <c r="O9" s="6"/>
    </row>
    <row r="10" spans="1:15" x14ac:dyDescent="0.35">
      <c r="A10" s="6"/>
      <c r="B10" s="11">
        <v>9</v>
      </c>
      <c r="C10" s="5">
        <f>B10*'Fee Calculations'!$F$6</f>
        <v>29700000</v>
      </c>
      <c r="D10" s="5"/>
      <c r="E10" s="6" t="s">
        <v>27</v>
      </c>
      <c r="F10" s="6"/>
      <c r="G10" s="6"/>
      <c r="H10" s="6"/>
      <c r="I10" s="6"/>
      <c r="J10" s="6"/>
      <c r="K10" s="5">
        <v>595000</v>
      </c>
      <c r="L10" s="5">
        <v>841000</v>
      </c>
      <c r="M10" s="5">
        <v>1210250</v>
      </c>
      <c r="N10" s="6"/>
      <c r="O10" s="6"/>
    </row>
    <row r="11" spans="1:15" x14ac:dyDescent="0.35">
      <c r="A11" s="6"/>
      <c r="B11" s="11"/>
      <c r="C11" s="5"/>
      <c r="D11" s="5"/>
      <c r="E11" s="6"/>
      <c r="F11" s="6"/>
      <c r="G11" s="6"/>
      <c r="H11" s="6"/>
      <c r="I11" s="6"/>
      <c r="J11" s="6"/>
      <c r="K11" s="5"/>
      <c r="L11" s="5"/>
      <c r="M11" s="5"/>
      <c r="N11" s="6"/>
      <c r="O11" s="6"/>
    </row>
    <row r="12" spans="1:15" x14ac:dyDescent="0.35">
      <c r="A12" s="6"/>
      <c r="B12" s="11">
        <v>9.5</v>
      </c>
      <c r="C12" s="5">
        <f>B12*'Fee Calculations'!$F$6</f>
        <v>31350000</v>
      </c>
      <c r="D12" s="5"/>
      <c r="E12" s="6" t="s">
        <v>27</v>
      </c>
      <c r="F12" s="6"/>
      <c r="G12" s="6"/>
      <c r="H12" s="6"/>
      <c r="I12" s="6"/>
      <c r="J12" s="6"/>
      <c r="K12" s="5">
        <v>718750</v>
      </c>
      <c r="L12" s="5">
        <v>917500</v>
      </c>
      <c r="M12" s="5">
        <v>1408250</v>
      </c>
      <c r="N12" s="6"/>
      <c r="O12" s="6"/>
    </row>
    <row r="13" spans="1:15" x14ac:dyDescent="0.35">
      <c r="A13" s="6"/>
      <c r="B13" s="11"/>
      <c r="C13" s="5"/>
      <c r="D13" s="5"/>
      <c r="E13" s="6"/>
      <c r="F13" s="6"/>
      <c r="G13" s="6"/>
      <c r="H13" s="6"/>
      <c r="I13" s="6"/>
      <c r="J13" s="6"/>
      <c r="K13" s="5"/>
      <c r="L13" s="5"/>
      <c r="M13" s="5"/>
      <c r="N13" s="6"/>
      <c r="O13" s="6"/>
    </row>
    <row r="14" spans="1:15" x14ac:dyDescent="0.35">
      <c r="A14" s="6"/>
      <c r="B14" s="11">
        <v>10</v>
      </c>
      <c r="C14" s="5">
        <f>B14*'Fee Calculations'!$F$6</f>
        <v>33000000</v>
      </c>
      <c r="D14" s="5"/>
      <c r="E14" s="6" t="s">
        <v>27</v>
      </c>
      <c r="F14" s="6"/>
      <c r="G14" s="6"/>
      <c r="H14" s="6"/>
      <c r="I14" s="6"/>
      <c r="J14" s="6"/>
      <c r="K14" s="5">
        <v>842500</v>
      </c>
      <c r="L14" s="5">
        <v>1000000</v>
      </c>
      <c r="M14" s="5">
        <v>1606250</v>
      </c>
      <c r="N14" s="6"/>
      <c r="O14" s="6"/>
    </row>
    <row r="15" spans="1:15" x14ac:dyDescent="0.35">
      <c r="A15" s="6"/>
      <c r="B15" s="11"/>
      <c r="C15" s="5"/>
      <c r="D15" s="5"/>
      <c r="E15" s="6"/>
      <c r="F15" s="6"/>
      <c r="G15" s="6"/>
      <c r="H15" s="6"/>
      <c r="I15" s="6"/>
      <c r="J15" s="6"/>
      <c r="K15" s="5"/>
      <c r="L15" s="5"/>
      <c r="M15" s="5"/>
      <c r="N15" s="6"/>
      <c r="O15" s="6"/>
    </row>
    <row r="16" spans="1:15" x14ac:dyDescent="0.35">
      <c r="A16" s="6"/>
      <c r="B16" s="11">
        <v>10.5</v>
      </c>
      <c r="C16" s="5">
        <f>B16*'Fee Calculations'!$F$6</f>
        <v>34650000</v>
      </c>
      <c r="D16" s="5"/>
      <c r="E16" s="6" t="s">
        <v>27</v>
      </c>
      <c r="F16" s="6"/>
      <c r="G16" s="6"/>
      <c r="H16" s="6"/>
      <c r="I16" s="6"/>
      <c r="J16" s="6"/>
      <c r="K16" s="5">
        <v>977500</v>
      </c>
      <c r="L16" s="5">
        <v>1082500</v>
      </c>
      <c r="M16" s="5">
        <v>1804250</v>
      </c>
      <c r="N16" s="6"/>
      <c r="O16" s="6"/>
    </row>
    <row r="17" spans="1:15" x14ac:dyDescent="0.35">
      <c r="A17" s="6"/>
      <c r="B17" s="11"/>
      <c r="C17" s="5"/>
      <c r="D17" s="5"/>
      <c r="E17" s="6"/>
      <c r="F17" s="6"/>
      <c r="G17" s="6"/>
      <c r="H17" s="6"/>
      <c r="I17" s="6"/>
      <c r="J17" s="6"/>
      <c r="K17" s="5"/>
      <c r="L17" s="5"/>
      <c r="M17" s="5"/>
      <c r="N17" s="6"/>
      <c r="O17" s="6"/>
    </row>
    <row r="18" spans="1:15" x14ac:dyDescent="0.35">
      <c r="A18" s="6"/>
      <c r="B18" s="11">
        <v>11</v>
      </c>
      <c r="C18" s="5">
        <f>B18*'Fee Calculations'!$F$6</f>
        <v>36300000</v>
      </c>
      <c r="D18" s="5"/>
      <c r="E18" s="6" t="s">
        <v>27</v>
      </c>
      <c r="F18" s="6"/>
      <c r="G18" s="6"/>
      <c r="H18" s="6"/>
      <c r="I18" s="6"/>
      <c r="J18" s="6"/>
      <c r="K18" s="5">
        <v>1172500</v>
      </c>
      <c r="L18" s="5">
        <v>1165000</v>
      </c>
      <c r="M18" s="5">
        <v>2002250</v>
      </c>
      <c r="N18" s="6"/>
      <c r="O18" s="6"/>
    </row>
    <row r="19" spans="1:15" x14ac:dyDescent="0.35">
      <c r="B19" s="9"/>
      <c r="C19" s="1"/>
      <c r="D19" s="1"/>
      <c r="K19" s="1"/>
      <c r="L19" s="1"/>
      <c r="M19" s="1"/>
    </row>
    <row r="20" spans="1:15" x14ac:dyDescent="0.35">
      <c r="B20" s="9">
        <v>12</v>
      </c>
      <c r="C20" s="1">
        <f>B20*'Fee Calculations'!$F$6</f>
        <v>39600000</v>
      </c>
      <c r="D20" s="1"/>
      <c r="E20" t="s">
        <v>27</v>
      </c>
      <c r="K20" s="1">
        <v>1502500</v>
      </c>
      <c r="L20" s="1">
        <v>1330000</v>
      </c>
      <c r="M20" s="1">
        <v>2398250</v>
      </c>
    </row>
    <row r="21" spans="1:15" x14ac:dyDescent="0.35">
      <c r="B21" s="9"/>
      <c r="C21" s="1"/>
      <c r="D21" s="1"/>
      <c r="K21" s="1"/>
      <c r="L21" s="1"/>
      <c r="M21" s="1"/>
    </row>
    <row r="22" spans="1:15" x14ac:dyDescent="0.35">
      <c r="B22" s="9">
        <v>15</v>
      </c>
      <c r="C22" s="1">
        <f>B22*'Fee Calculations'!$F$6</f>
        <v>49500000</v>
      </c>
      <c r="D22" s="1"/>
      <c r="E22" t="s">
        <v>27</v>
      </c>
      <c r="K22" s="1">
        <v>2492500</v>
      </c>
      <c r="L22" s="1">
        <v>1825000</v>
      </c>
      <c r="M22" s="1">
        <v>3586250</v>
      </c>
    </row>
    <row r="28" spans="1:15" x14ac:dyDescent="0.35">
      <c r="A28" s="12"/>
      <c r="B28" s="12" t="s">
        <v>51</v>
      </c>
      <c r="C28" s="12"/>
      <c r="D28" s="12"/>
      <c r="E28" s="12"/>
      <c r="F28" s="12"/>
      <c r="G28" s="12"/>
      <c r="H28" s="12"/>
      <c r="I28" s="12"/>
      <c r="J28" s="12"/>
      <c r="K28" s="13">
        <f>463500-K29</f>
        <v>313500</v>
      </c>
      <c r="L28" s="13">
        <f>463500-L29</f>
        <v>313500</v>
      </c>
      <c r="M28" s="13">
        <f>650000-M29</f>
        <v>500000</v>
      </c>
      <c r="N28" s="12"/>
      <c r="O28" s="12"/>
    </row>
    <row r="29" spans="1:15" x14ac:dyDescent="0.35">
      <c r="B29" t="s">
        <v>41</v>
      </c>
      <c r="K29" s="1">
        <v>150000</v>
      </c>
      <c r="L29" s="1">
        <v>150000</v>
      </c>
      <c r="M29" s="1">
        <v>150000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36E3-2999-4040-AE44-F936E0BD3C89}">
  <dimension ref="B1:R18"/>
  <sheetViews>
    <sheetView workbookViewId="0">
      <selection activeCell="P6" sqref="P6"/>
    </sheetView>
  </sheetViews>
  <sheetFormatPr defaultRowHeight="14.5" x14ac:dyDescent="0.35"/>
  <cols>
    <col min="2" max="2" width="12.08984375" bestFit="1" customWidth="1"/>
    <col min="3" max="3" width="14.90625" bestFit="1" customWidth="1"/>
    <col min="4" max="4" width="12.36328125" bestFit="1" customWidth="1"/>
    <col min="6" max="6" width="12.36328125" bestFit="1" customWidth="1"/>
    <col min="8" max="8" width="12.36328125" bestFit="1" customWidth="1"/>
    <col min="9" max="9" width="13.90625" bestFit="1" customWidth="1"/>
    <col min="10" max="10" width="8.6328125" bestFit="1" customWidth="1"/>
    <col min="12" max="12" width="13.90625" bestFit="1" customWidth="1"/>
    <col min="16" max="16" width="14.90625" bestFit="1" customWidth="1"/>
  </cols>
  <sheetData>
    <row r="1" spans="2:18" x14ac:dyDescent="0.35">
      <c r="R1" t="s">
        <v>65</v>
      </c>
    </row>
    <row r="2" spans="2:18" x14ac:dyDescent="0.35">
      <c r="N2" t="s">
        <v>61</v>
      </c>
      <c r="P2" s="34">
        <v>8</v>
      </c>
      <c r="R2">
        <v>6</v>
      </c>
    </row>
    <row r="3" spans="2:18" x14ac:dyDescent="0.35">
      <c r="D3" s="38" t="s">
        <v>2</v>
      </c>
      <c r="E3" s="39"/>
      <c r="F3" s="40"/>
      <c r="G3" s="41" t="s">
        <v>4</v>
      </c>
      <c r="H3" s="41"/>
      <c r="I3" s="41"/>
      <c r="J3" s="41" t="s">
        <v>63</v>
      </c>
      <c r="K3" s="41"/>
      <c r="L3" s="41"/>
      <c r="N3" t="s">
        <v>53</v>
      </c>
      <c r="P3" s="23">
        <v>3200000</v>
      </c>
    </row>
    <row r="4" spans="2:18" x14ac:dyDescent="0.35">
      <c r="C4" t="s">
        <v>7</v>
      </c>
      <c r="D4" s="26"/>
      <c r="F4" s="27">
        <v>50000</v>
      </c>
      <c r="G4" s="26"/>
      <c r="I4" s="23">
        <f>15000*P2</f>
        <v>120000</v>
      </c>
      <c r="J4" s="28"/>
      <c r="L4" s="29">
        <f>12500*R2</f>
        <v>75000</v>
      </c>
      <c r="N4" t="s">
        <v>72</v>
      </c>
      <c r="P4" s="34">
        <v>9</v>
      </c>
    </row>
    <row r="5" spans="2:18" x14ac:dyDescent="0.35">
      <c r="C5" t="s">
        <v>52</v>
      </c>
      <c r="D5" s="26"/>
      <c r="F5" s="27">
        <v>400000</v>
      </c>
      <c r="G5" s="26"/>
      <c r="I5" s="27">
        <v>550000</v>
      </c>
      <c r="J5" s="26"/>
      <c r="L5" s="27">
        <v>550000</v>
      </c>
      <c r="N5" t="s">
        <v>70</v>
      </c>
      <c r="P5" s="34">
        <v>10</v>
      </c>
    </row>
    <row r="6" spans="2:18" x14ac:dyDescent="0.35">
      <c r="C6" t="s">
        <v>60</v>
      </c>
      <c r="D6" s="26"/>
      <c r="E6" s="27"/>
      <c r="F6" s="27"/>
      <c r="G6" s="26"/>
      <c r="H6" s="27"/>
      <c r="I6" s="26"/>
      <c r="J6" s="26"/>
      <c r="K6" s="27"/>
      <c r="L6" s="26"/>
      <c r="N6" t="s">
        <v>66</v>
      </c>
      <c r="P6" s="26">
        <f>MIN(P5-P4,1)</f>
        <v>1</v>
      </c>
    </row>
    <row r="7" spans="2:18" x14ac:dyDescent="0.35">
      <c r="B7" t="s">
        <v>69</v>
      </c>
      <c r="C7" s="10" t="s">
        <v>58</v>
      </c>
      <c r="D7" s="26"/>
      <c r="E7" s="24">
        <v>0.05</v>
      </c>
      <c r="F7" s="23">
        <f>(P4-MID(C7,4,1)*1)*P3*E7</f>
        <v>160000</v>
      </c>
      <c r="G7" s="21" t="s">
        <v>59</v>
      </c>
      <c r="H7" s="25">
        <v>2.5000000000000001E-2</v>
      </c>
      <c r="I7" s="23">
        <f>MID(G7,3,3)*1*$P$3*H7</f>
        <v>680000</v>
      </c>
      <c r="J7" s="21" t="s">
        <v>62</v>
      </c>
      <c r="K7" s="25">
        <v>0.02</v>
      </c>
      <c r="L7" s="23">
        <f>MID(J7,3,3)*1*$P$3*K7</f>
        <v>576000</v>
      </c>
      <c r="N7" t="s">
        <v>71</v>
      </c>
      <c r="P7" s="26">
        <f>P5-P4-P6</f>
        <v>0</v>
      </c>
    </row>
    <row r="8" spans="2:18" x14ac:dyDescent="0.35">
      <c r="B8" t="s">
        <v>68</v>
      </c>
      <c r="C8" s="22" t="s">
        <v>54</v>
      </c>
      <c r="D8" s="26"/>
      <c r="E8" s="25">
        <v>7.4999999999999997E-2</v>
      </c>
      <c r="F8" s="33">
        <f>P6*P3*E8</f>
        <v>240000</v>
      </c>
      <c r="G8" s="21" t="s">
        <v>56</v>
      </c>
      <c r="H8" s="24">
        <v>0.06</v>
      </c>
      <c r="I8" s="23">
        <f>(P6+0.5)*P3*K8</f>
        <v>288000</v>
      </c>
      <c r="J8" s="30" t="s">
        <v>64</v>
      </c>
      <c r="K8" s="24">
        <v>0.06</v>
      </c>
      <c r="L8" s="23">
        <f>P6*P3*K8</f>
        <v>192000</v>
      </c>
    </row>
    <row r="9" spans="2:18" x14ac:dyDescent="0.35">
      <c r="B9" t="s">
        <v>67</v>
      </c>
      <c r="C9" s="10" t="s">
        <v>55</v>
      </c>
      <c r="D9" s="26"/>
      <c r="E9" s="24">
        <v>0.1</v>
      </c>
      <c r="F9" s="23">
        <f>$P$7*$P$3*E9</f>
        <v>0</v>
      </c>
      <c r="G9" s="21" t="s">
        <v>57</v>
      </c>
      <c r="H9" s="24">
        <v>0.12</v>
      </c>
      <c r="I9" s="23">
        <f>$P$7*$P$3*H9</f>
        <v>0</v>
      </c>
      <c r="J9" s="21" t="s">
        <v>57</v>
      </c>
      <c r="K9" s="24">
        <v>0.1</v>
      </c>
      <c r="L9" s="23">
        <f>$P$7*$P$3*K9</f>
        <v>0</v>
      </c>
    </row>
    <row r="10" spans="2:18" x14ac:dyDescent="0.35">
      <c r="F10" s="31">
        <f>SUM(F4:F9)</f>
        <v>850000</v>
      </c>
      <c r="I10" s="32">
        <f>SUM(I4:I9)-I5</f>
        <v>1088000</v>
      </c>
      <c r="L10" s="32">
        <f>SUM(L4:L9)-L5</f>
        <v>843000</v>
      </c>
    </row>
    <row r="12" spans="2:18" x14ac:dyDescent="0.35">
      <c r="C12" t="s">
        <v>31</v>
      </c>
      <c r="F12" s="19">
        <f>(175000+350000)/2</f>
        <v>262500</v>
      </c>
      <c r="I12" s="20">
        <v>200000</v>
      </c>
    </row>
    <row r="13" spans="2:18" x14ac:dyDescent="0.35">
      <c r="C13" t="s">
        <v>35</v>
      </c>
      <c r="F13" s="36">
        <f>(5000+35000)/2</f>
        <v>20000</v>
      </c>
      <c r="I13" s="37">
        <v>225000</v>
      </c>
    </row>
    <row r="14" spans="2:18" x14ac:dyDescent="0.35">
      <c r="C14" t="s">
        <v>39</v>
      </c>
      <c r="F14" s="19">
        <f>(12000+50000)/2</f>
        <v>31000</v>
      </c>
      <c r="I14" s="20">
        <v>75000</v>
      </c>
    </row>
    <row r="15" spans="2:18" x14ac:dyDescent="0.35">
      <c r="I15" s="20"/>
    </row>
    <row r="16" spans="2:18" x14ac:dyDescent="0.35">
      <c r="C16" t="s">
        <v>41</v>
      </c>
      <c r="F16" s="18">
        <f>(100000+200000)/2</f>
        <v>150000</v>
      </c>
      <c r="I16" s="20">
        <v>150000</v>
      </c>
    </row>
    <row r="18" spans="6:9" x14ac:dyDescent="0.35">
      <c r="F18" s="35">
        <f>SUM(F12:F16)</f>
        <v>463500</v>
      </c>
      <c r="I18" s="35">
        <f>SUM(I12:I16)</f>
        <v>650000</v>
      </c>
    </row>
  </sheetData>
  <mergeCells count="3">
    <mergeCell ref="D3:F3"/>
    <mergeCell ref="G3:I3"/>
    <mergeCell ref="J3:L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6dd5138-ad34-4b69-a6b6-078b516d6926">
      <UserInfo>
        <DisplayName>Manzoor Mohammed</DisplayName>
        <AccountId>13</AccountId>
        <AccountType/>
      </UserInfo>
      <UserInfo>
        <DisplayName>Danny Quilton</DisplayName>
        <AccountId>15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6795653E96784B88F386B9DA7E3E73" ma:contentTypeVersion="6" ma:contentTypeDescription="Create a new document." ma:contentTypeScope="" ma:versionID="7db693f30da5609a95e27b787ad23fe4">
  <xsd:schema xmlns:xsd="http://www.w3.org/2001/XMLSchema" xmlns:xs="http://www.w3.org/2001/XMLSchema" xmlns:p="http://schemas.microsoft.com/office/2006/metadata/properties" xmlns:ns2="18baa623-e060-494e-a097-20f61b01727b" xmlns:ns3="86dd5138-ad34-4b69-a6b6-078b516d6926" targetNamespace="http://schemas.microsoft.com/office/2006/metadata/properties" ma:root="true" ma:fieldsID="59a6c3943824e5d806794babc24d5eb4" ns2:_="" ns3:_="">
    <xsd:import namespace="18baa623-e060-494e-a097-20f61b01727b"/>
    <xsd:import namespace="86dd5138-ad34-4b69-a6b6-078b516d6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aa623-e060-494e-a097-20f61b017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d5138-ad34-4b69-a6b6-078b516d69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FA7CC7-6B69-4984-AE04-4D9B8DDB1B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0F2ED-CC93-494F-89AE-B90177A6DD49}">
  <ds:schemaRefs>
    <ds:schemaRef ds:uri="http://schemas.microsoft.com/office/2006/metadata/properties"/>
    <ds:schemaRef ds:uri="http://schemas.microsoft.com/office/infopath/2007/PartnerControls"/>
    <ds:schemaRef ds:uri="86dd5138-ad34-4b69-a6b6-078b516d6926"/>
  </ds:schemaRefs>
</ds:datastoreItem>
</file>

<file path=customXml/itemProps3.xml><?xml version="1.0" encoding="utf-8"?>
<ds:datastoreItem xmlns:ds="http://schemas.openxmlformats.org/officeDocument/2006/customXml" ds:itemID="{F44FAB6A-4976-4773-80C5-79A0D943C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aa623-e060-494e-a097-20f61b01727b"/>
    <ds:schemaRef ds:uri="86dd5138-ad34-4b69-a6b6-078b516d6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Fee Calculations</vt:lpstr>
      <vt:lpstr>Comparisons</vt:lpstr>
      <vt:lpstr>Comparison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Tiplin</dc:creator>
  <cp:keywords/>
  <dc:description/>
  <cp:lastModifiedBy>Joseph O'Mahoney</cp:lastModifiedBy>
  <cp:revision/>
  <dcterms:created xsi:type="dcterms:W3CDTF">2024-01-29T10:13:27Z</dcterms:created>
  <dcterms:modified xsi:type="dcterms:W3CDTF">2024-04-28T14:24:46Z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99a171-494f-44e2-a6f1-dd8d002f82a7_Enabled">
    <vt:lpwstr>true</vt:lpwstr>
  </property>
  <property fmtid="{D5CDD505-2E9C-101B-9397-08002B2CF9AE}" pid="3" name="MSIP_Label_2299a171-494f-44e2-a6f1-dd8d002f82a7_SetDate">
    <vt:lpwstr>2024-01-29T10:48:55Z</vt:lpwstr>
  </property>
  <property fmtid="{D5CDD505-2E9C-101B-9397-08002B2CF9AE}" pid="4" name="MSIP_Label_2299a171-494f-44e2-a6f1-dd8d002f82a7_Method">
    <vt:lpwstr>Privileged</vt:lpwstr>
  </property>
  <property fmtid="{D5CDD505-2E9C-101B-9397-08002B2CF9AE}" pid="5" name="MSIP_Label_2299a171-494f-44e2-a6f1-dd8d002f82a7_Name">
    <vt:lpwstr>Capacitas Confidential</vt:lpwstr>
  </property>
  <property fmtid="{D5CDD505-2E9C-101B-9397-08002B2CF9AE}" pid="6" name="MSIP_Label_2299a171-494f-44e2-a6f1-dd8d002f82a7_SiteId">
    <vt:lpwstr>9ba3295d-cd01-4c5f-947e-b5526a904daf</vt:lpwstr>
  </property>
  <property fmtid="{D5CDD505-2E9C-101B-9397-08002B2CF9AE}" pid="7" name="MSIP_Label_2299a171-494f-44e2-a6f1-dd8d002f82a7_ActionId">
    <vt:lpwstr>9c272a12-de60-48de-b4ce-69d3c72400f6</vt:lpwstr>
  </property>
  <property fmtid="{D5CDD505-2E9C-101B-9397-08002B2CF9AE}" pid="8" name="MSIP_Label_2299a171-494f-44e2-a6f1-dd8d002f82a7_ContentBits">
    <vt:lpwstr>1</vt:lpwstr>
  </property>
  <property fmtid="{D5CDD505-2E9C-101B-9397-08002B2CF9AE}" pid="9" name="ContentTypeId">
    <vt:lpwstr>0x010100A76795653E96784B88F386B9DA7E3E73</vt:lpwstr>
  </property>
</Properties>
</file>