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5.xml" ContentType="application/vnd.openxmlformats-officedocument.spreadsheetml.pivotTab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G:\My Drive\Consulting Mastered\5. The Trusted Authority\"/>
    </mc:Choice>
  </mc:AlternateContent>
  <xr:revisionPtr revIDLastSave="0" documentId="13_ncr:1_{9AB63632-61EF-4C44-B38C-869F97F9FB2F}" xr6:coauthVersionLast="47" xr6:coauthVersionMax="47" xr10:uidLastSave="{00000000-0000-0000-0000-000000000000}"/>
  <bookViews>
    <workbookView xWindow="28680" yWindow="75" windowWidth="29040" windowHeight="15720" tabRatio="763" firstSheet="4" activeTab="12" xr2:uid="{00000000-000D-0000-FFFF-FFFF00000000}"/>
  </bookViews>
  <sheets>
    <sheet name="Quarterly Goals" sheetId="17" r:id="rId1"/>
    <sheet name="ChartWeighted" sheetId="18" r:id="rId2"/>
    <sheet name="Weekly Scorecard" sheetId="1" r:id="rId3"/>
    <sheet name="Monthly Scorecard" sheetId="5" r:id="rId4"/>
    <sheet name="Weekly Raw Data" sheetId="2" r:id="rId5"/>
    <sheet name="Conversations" sheetId="10" r:id="rId6"/>
    <sheet name="Sales orders by CD" sheetId="14" r:id="rId7"/>
    <sheet name="Unweighted pipeline" sheetId="12" r:id="rId8"/>
    <sheet name="Sales orders by CD Chart" sheetId="16" r:id="rId9"/>
    <sheet name="Intros Chart" sheetId="8" r:id="rId10"/>
    <sheet name="SQLs Chart" sheetId="9" r:id="rId11"/>
    <sheet name="Convos chart" sheetId="11" r:id="rId12"/>
    <sheet name="Unweighted pipeline chart" sheetId="13" r:id="rId13"/>
  </sheets>
  <calcPr calcId="191028"/>
  <pivotCaches>
    <pivotCache cacheId="0" r:id="rId14"/>
    <pivotCache cacheId="1" r:id="rId15"/>
    <pivotCache cacheId="2" r:id="rId16"/>
    <pivotCache cacheId="3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2" l="1"/>
  <c r="B52" i="2"/>
  <c r="B53" i="2"/>
  <c r="B54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8" i="1" l="1"/>
  <c r="P38" i="1" s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37" i="1" l="1"/>
  <c r="M37" i="1"/>
  <c r="M36" i="1"/>
  <c r="P36" i="1" s="1"/>
  <c r="P35" i="1" l="1"/>
  <c r="M35" i="1"/>
  <c r="P34" i="1"/>
  <c r="M34" i="1"/>
  <c r="P33" i="1"/>
  <c r="M33" i="1"/>
  <c r="P32" i="1" l="1"/>
  <c r="M32" i="1" l="1"/>
  <c r="M31" i="1" l="1"/>
  <c r="P31" i="1" s="1"/>
  <c r="I5" i="17"/>
  <c r="I6" i="17"/>
  <c r="I7" i="17"/>
  <c r="I8" i="17"/>
  <c r="I9" i="17"/>
  <c r="I10" i="17"/>
  <c r="I11" i="17"/>
  <c r="I12" i="17"/>
  <c r="I13" i="17"/>
  <c r="I14" i="17"/>
  <c r="I15" i="17"/>
  <c r="I16" i="17"/>
  <c r="M30" i="1"/>
  <c r="P30" i="1" s="1"/>
  <c r="C10" i="12"/>
  <c r="C9" i="12"/>
  <c r="C8" i="12"/>
  <c r="M29" i="1"/>
  <c r="P29" i="1" l="1"/>
  <c r="M28" i="1"/>
  <c r="P28" i="1" s="1"/>
  <c r="D24" i="2" l="1"/>
  <c r="C24" i="2"/>
  <c r="M27" i="1" l="1"/>
  <c r="P27" i="1" s="1"/>
  <c r="M26" i="1"/>
  <c r="P26" i="1" s="1"/>
  <c r="M25" i="1"/>
  <c r="P25" i="1" s="1"/>
  <c r="D24" i="1" l="1"/>
  <c r="H5" i="17"/>
  <c r="H6" i="17"/>
  <c r="H7" i="17"/>
  <c r="H8" i="17"/>
  <c r="H9" i="17"/>
  <c r="H10" i="17"/>
  <c r="H11" i="17"/>
  <c r="H12" i="17"/>
  <c r="H13" i="17"/>
  <c r="H14" i="17"/>
  <c r="H15" i="17"/>
  <c r="H16" i="17"/>
  <c r="G16" i="17"/>
  <c r="G15" i="17"/>
  <c r="G14" i="17"/>
  <c r="G13" i="17"/>
  <c r="G12" i="17"/>
  <c r="G11" i="17"/>
  <c r="G10" i="17"/>
  <c r="G9" i="17"/>
  <c r="G8" i="17"/>
  <c r="G7" i="17"/>
  <c r="G6" i="17"/>
  <c r="G5" i="17"/>
  <c r="F16" i="17"/>
  <c r="F15" i="17"/>
  <c r="F14" i="17"/>
  <c r="F13" i="17"/>
  <c r="F12" i="17"/>
  <c r="F11" i="17"/>
  <c r="F10" i="17"/>
  <c r="F9" i="17"/>
  <c r="F8" i="17"/>
  <c r="F7" i="17"/>
  <c r="F6" i="17"/>
  <c r="F5" i="17"/>
  <c r="C5" i="17"/>
  <c r="D5" i="17"/>
  <c r="E5" i="17"/>
  <c r="C6" i="17"/>
  <c r="D6" i="17"/>
  <c r="E6" i="17"/>
  <c r="C7" i="17"/>
  <c r="D7" i="17"/>
  <c r="E7" i="17"/>
  <c r="C8" i="17"/>
  <c r="D8" i="17"/>
  <c r="E8" i="17"/>
  <c r="C9" i="17"/>
  <c r="D9" i="17"/>
  <c r="E9" i="17"/>
  <c r="C10" i="17"/>
  <c r="D10" i="17"/>
  <c r="E10" i="17"/>
  <c r="C11" i="17"/>
  <c r="D11" i="17"/>
  <c r="E11" i="17"/>
  <c r="C12" i="17"/>
  <c r="D12" i="17"/>
  <c r="E12" i="17"/>
  <c r="C13" i="17"/>
  <c r="D13" i="17"/>
  <c r="E13" i="17"/>
  <c r="C14" i="17"/>
  <c r="D14" i="17"/>
  <c r="E14" i="17"/>
  <c r="C15" i="17"/>
  <c r="D15" i="17"/>
  <c r="E15" i="17"/>
  <c r="C16" i="17"/>
  <c r="D16" i="17"/>
  <c r="E16" i="17"/>
  <c r="B16" i="17"/>
  <c r="B15" i="17"/>
  <c r="B14" i="17"/>
  <c r="B13" i="17"/>
  <c r="B12" i="17"/>
  <c r="B11" i="17"/>
  <c r="B10" i="17"/>
  <c r="B9" i="17"/>
  <c r="B8" i="17"/>
  <c r="B7" i="17"/>
  <c r="B6" i="17"/>
  <c r="B5" i="17"/>
  <c r="M24" i="1"/>
  <c r="P24" i="1" s="1"/>
  <c r="M23" i="1" l="1"/>
  <c r="P23" i="1" s="1"/>
  <c r="M22" i="1"/>
  <c r="P22" i="1" s="1"/>
  <c r="C2" i="10"/>
  <c r="C3" i="10"/>
  <c r="C4" i="10"/>
  <c r="C5" i="10"/>
  <c r="C6" i="10"/>
  <c r="C7" i="10"/>
  <c r="C8" i="10"/>
  <c r="C9" i="10"/>
  <c r="C10" i="10"/>
  <c r="C11" i="10"/>
  <c r="C12" i="10"/>
  <c r="C13" i="10"/>
  <c r="M16" i="1"/>
  <c r="M21" i="1" l="1"/>
  <c r="P21" i="1" s="1"/>
  <c r="M20" i="1" l="1"/>
  <c r="P20" i="1" s="1"/>
  <c r="M19" i="1"/>
  <c r="P19" i="1" s="1"/>
  <c r="M18" i="1" l="1"/>
  <c r="P18" i="1" s="1"/>
  <c r="M17" i="1"/>
  <c r="P17" i="1" s="1"/>
  <c r="B5" i="12" l="1"/>
  <c r="B6" i="12"/>
  <c r="B7" i="12"/>
  <c r="B8" i="12"/>
  <c r="B9" i="12"/>
  <c r="B10" i="12"/>
  <c r="B2" i="12"/>
  <c r="B3" i="12"/>
  <c r="B4" i="12"/>
  <c r="P16" i="1"/>
  <c r="B3" i="2" l="1"/>
  <c r="C3" i="2"/>
  <c r="D3" i="2"/>
  <c r="E3" i="2"/>
  <c r="F3" i="2"/>
  <c r="G3" i="2"/>
  <c r="H3" i="2"/>
  <c r="I3" i="2"/>
  <c r="J3" i="2"/>
  <c r="K3" i="2"/>
  <c r="L3" i="2"/>
  <c r="M3" i="2"/>
  <c r="N3" i="2"/>
  <c r="B4" i="2"/>
  <c r="C4" i="2"/>
  <c r="D4" i="2"/>
  <c r="E4" i="2"/>
  <c r="F4" i="2"/>
  <c r="G4" i="2"/>
  <c r="H4" i="2"/>
  <c r="I4" i="2"/>
  <c r="J4" i="2"/>
  <c r="K4" i="2"/>
  <c r="L4" i="2"/>
  <c r="M4" i="2"/>
  <c r="N4" i="2"/>
  <c r="B5" i="2"/>
  <c r="C5" i="2"/>
  <c r="D5" i="2"/>
  <c r="E5" i="2"/>
  <c r="F5" i="2"/>
  <c r="G5" i="2"/>
  <c r="H5" i="2"/>
  <c r="I5" i="2"/>
  <c r="J5" i="2"/>
  <c r="K5" i="2"/>
  <c r="L5" i="2"/>
  <c r="M5" i="2"/>
  <c r="N5" i="2"/>
  <c r="B6" i="2"/>
  <c r="C6" i="2"/>
  <c r="D6" i="2"/>
  <c r="E6" i="2"/>
  <c r="F6" i="2"/>
  <c r="G6" i="2"/>
  <c r="H6" i="2"/>
  <c r="I6" i="2"/>
  <c r="J6" i="2"/>
  <c r="K6" i="2"/>
  <c r="L6" i="2"/>
  <c r="M6" i="2"/>
  <c r="N6" i="2"/>
  <c r="B7" i="2"/>
  <c r="C7" i="2"/>
  <c r="D7" i="2"/>
  <c r="E7" i="2"/>
  <c r="F7" i="2"/>
  <c r="G7" i="2"/>
  <c r="H7" i="2"/>
  <c r="I7" i="2"/>
  <c r="J7" i="2"/>
  <c r="K7" i="2"/>
  <c r="L7" i="2"/>
  <c r="M7" i="2"/>
  <c r="N7" i="2"/>
  <c r="B8" i="2"/>
  <c r="C8" i="2"/>
  <c r="D8" i="2"/>
  <c r="E8" i="2"/>
  <c r="F8" i="2"/>
  <c r="G8" i="2"/>
  <c r="H8" i="2"/>
  <c r="I8" i="2"/>
  <c r="J8" i="2"/>
  <c r="K8" i="2"/>
  <c r="L8" i="2"/>
  <c r="M8" i="2"/>
  <c r="N8" i="2"/>
  <c r="B9" i="2"/>
  <c r="C9" i="2"/>
  <c r="D9" i="2"/>
  <c r="E9" i="2"/>
  <c r="F9" i="2"/>
  <c r="G9" i="2"/>
  <c r="H9" i="2"/>
  <c r="I9" i="2"/>
  <c r="J9" i="2"/>
  <c r="L9" i="2"/>
  <c r="M9" i="2"/>
  <c r="N9" i="2"/>
  <c r="B10" i="2"/>
  <c r="C10" i="2"/>
  <c r="D10" i="2"/>
  <c r="E10" i="2"/>
  <c r="F10" i="2"/>
  <c r="G10" i="2"/>
  <c r="H10" i="2"/>
  <c r="I10" i="2"/>
  <c r="J10" i="2"/>
  <c r="L10" i="2"/>
  <c r="M10" i="2"/>
  <c r="B11" i="2"/>
  <c r="C11" i="2"/>
  <c r="D11" i="2"/>
  <c r="E11" i="2"/>
  <c r="F11" i="2"/>
  <c r="G11" i="2"/>
  <c r="H11" i="2"/>
  <c r="I11" i="2"/>
  <c r="J11" i="2"/>
  <c r="L11" i="2"/>
  <c r="M11" i="2"/>
  <c r="B12" i="2"/>
  <c r="C12" i="2"/>
  <c r="D12" i="2"/>
  <c r="E12" i="2"/>
  <c r="F12" i="2"/>
  <c r="G12" i="2"/>
  <c r="H12" i="2"/>
  <c r="I12" i="2"/>
  <c r="J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B24" i="2"/>
  <c r="E24" i="2"/>
  <c r="F24" i="2"/>
  <c r="G24" i="2"/>
  <c r="H24" i="2"/>
  <c r="I24" i="2"/>
  <c r="J24" i="2"/>
  <c r="K24" i="2"/>
  <c r="L24" i="2"/>
  <c r="M24" i="2"/>
  <c r="N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C31" i="2"/>
  <c r="D31" i="2"/>
  <c r="E31" i="2"/>
  <c r="F31" i="2"/>
  <c r="G31" i="2"/>
  <c r="H31" i="2"/>
  <c r="I31" i="2"/>
  <c r="J31" i="2"/>
  <c r="K31" i="2"/>
  <c r="L31" i="2"/>
  <c r="M31" i="2"/>
  <c r="N31" i="2"/>
  <c r="C32" i="2"/>
  <c r="D32" i="2"/>
  <c r="E32" i="2"/>
  <c r="F32" i="2"/>
  <c r="G32" i="2"/>
  <c r="H32" i="2"/>
  <c r="I32" i="2"/>
  <c r="J32" i="2"/>
  <c r="K32" i="2"/>
  <c r="L32" i="2"/>
  <c r="M32" i="2"/>
  <c r="N32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5" i="2"/>
  <c r="D35" i="2"/>
  <c r="E35" i="2"/>
  <c r="F35" i="2"/>
  <c r="G35" i="2"/>
  <c r="H35" i="2"/>
  <c r="I35" i="2"/>
  <c r="J35" i="2"/>
  <c r="K35" i="2"/>
  <c r="L35" i="2"/>
  <c r="M35" i="2"/>
  <c r="N35" i="2"/>
  <c r="C36" i="2"/>
  <c r="D36" i="2"/>
  <c r="E36" i="2"/>
  <c r="F36" i="2"/>
  <c r="G36" i="2"/>
  <c r="H36" i="2"/>
  <c r="I36" i="2"/>
  <c r="J36" i="2"/>
  <c r="K36" i="2"/>
  <c r="L36" i="2"/>
  <c r="M36" i="2"/>
  <c r="N36" i="2"/>
  <c r="C37" i="2"/>
  <c r="D37" i="2"/>
  <c r="E37" i="2"/>
  <c r="F37" i="2"/>
  <c r="G37" i="2"/>
  <c r="H37" i="2"/>
  <c r="I37" i="2"/>
  <c r="J37" i="2"/>
  <c r="K37" i="2"/>
  <c r="L37" i="2"/>
  <c r="M37" i="2"/>
  <c r="N37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C40" i="2"/>
  <c r="D40" i="2"/>
  <c r="E40" i="2"/>
  <c r="F40" i="2"/>
  <c r="G40" i="2"/>
  <c r="H40" i="2"/>
  <c r="I40" i="2"/>
  <c r="J40" i="2"/>
  <c r="K40" i="2"/>
  <c r="L40" i="2"/>
  <c r="M40" i="2"/>
  <c r="N40" i="2"/>
  <c r="C41" i="2"/>
  <c r="D41" i="2"/>
  <c r="E41" i="2"/>
  <c r="F41" i="2"/>
  <c r="G41" i="2"/>
  <c r="H41" i="2"/>
  <c r="I41" i="2"/>
  <c r="J41" i="2"/>
  <c r="K41" i="2"/>
  <c r="L41" i="2"/>
  <c r="M41" i="2"/>
  <c r="N41" i="2"/>
  <c r="C42" i="2"/>
  <c r="D42" i="2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L43" i="2"/>
  <c r="M43" i="2"/>
  <c r="N43" i="2"/>
  <c r="C44" i="2"/>
  <c r="D44" i="2"/>
  <c r="E44" i="2"/>
  <c r="F44" i="2"/>
  <c r="G44" i="2"/>
  <c r="H44" i="2"/>
  <c r="I44" i="2"/>
  <c r="J44" i="2"/>
  <c r="K44" i="2"/>
  <c r="L44" i="2"/>
  <c r="M44" i="2"/>
  <c r="N44" i="2"/>
  <c r="C45" i="2"/>
  <c r="D45" i="2"/>
  <c r="E45" i="2"/>
  <c r="F45" i="2"/>
  <c r="G45" i="2"/>
  <c r="H45" i="2"/>
  <c r="I45" i="2"/>
  <c r="J45" i="2"/>
  <c r="K45" i="2"/>
  <c r="L45" i="2"/>
  <c r="M45" i="2"/>
  <c r="N45" i="2"/>
  <c r="C46" i="2"/>
  <c r="D46" i="2"/>
  <c r="E46" i="2"/>
  <c r="F46" i="2"/>
  <c r="G46" i="2"/>
  <c r="H46" i="2"/>
  <c r="I46" i="2"/>
  <c r="J46" i="2"/>
  <c r="K46" i="2"/>
  <c r="L46" i="2"/>
  <c r="M46" i="2"/>
  <c r="N46" i="2"/>
  <c r="C47" i="2"/>
  <c r="D47" i="2"/>
  <c r="E47" i="2"/>
  <c r="F47" i="2"/>
  <c r="G47" i="2"/>
  <c r="H47" i="2"/>
  <c r="I47" i="2"/>
  <c r="J47" i="2"/>
  <c r="K47" i="2"/>
  <c r="L47" i="2"/>
  <c r="M47" i="2"/>
  <c r="N47" i="2"/>
  <c r="C48" i="2"/>
  <c r="D48" i="2"/>
  <c r="E48" i="2"/>
  <c r="F48" i="2"/>
  <c r="G48" i="2"/>
  <c r="H48" i="2"/>
  <c r="I48" i="2"/>
  <c r="J48" i="2"/>
  <c r="K48" i="2"/>
  <c r="L48" i="2"/>
  <c r="M48" i="2"/>
  <c r="N48" i="2"/>
  <c r="C49" i="2"/>
  <c r="D49" i="2"/>
  <c r="E49" i="2"/>
  <c r="F49" i="2"/>
  <c r="G49" i="2"/>
  <c r="H49" i="2"/>
  <c r="I49" i="2"/>
  <c r="J49" i="2"/>
  <c r="K49" i="2"/>
  <c r="L49" i="2"/>
  <c r="M49" i="2"/>
  <c r="N49" i="2"/>
  <c r="C50" i="2"/>
  <c r="D50" i="2"/>
  <c r="E50" i="2"/>
  <c r="F50" i="2"/>
  <c r="G50" i="2"/>
  <c r="H50" i="2"/>
  <c r="I50" i="2"/>
  <c r="J50" i="2"/>
  <c r="K50" i="2"/>
  <c r="L50" i="2"/>
  <c r="M50" i="2"/>
  <c r="N50" i="2"/>
  <c r="C51" i="2"/>
  <c r="D51" i="2"/>
  <c r="E51" i="2"/>
  <c r="F51" i="2"/>
  <c r="G51" i="2"/>
  <c r="H51" i="2"/>
  <c r="I51" i="2"/>
  <c r="J51" i="2"/>
  <c r="K51" i="2"/>
  <c r="L51" i="2"/>
  <c r="M51" i="2"/>
  <c r="N51" i="2"/>
  <c r="C52" i="2"/>
  <c r="D52" i="2"/>
  <c r="E52" i="2"/>
  <c r="F52" i="2"/>
  <c r="G52" i="2"/>
  <c r="H52" i="2"/>
  <c r="I52" i="2"/>
  <c r="J52" i="2"/>
  <c r="K52" i="2"/>
  <c r="L52" i="2"/>
  <c r="M52" i="2"/>
  <c r="N52" i="2"/>
  <c r="C53" i="2"/>
  <c r="D53" i="2"/>
  <c r="E53" i="2"/>
  <c r="F53" i="2"/>
  <c r="G53" i="2"/>
  <c r="H53" i="2"/>
  <c r="I53" i="2"/>
  <c r="J53" i="2"/>
  <c r="K53" i="2"/>
  <c r="L53" i="2"/>
  <c r="M53" i="2"/>
  <c r="N53" i="2"/>
  <c r="C54" i="2"/>
  <c r="D54" i="2"/>
  <c r="E54" i="2"/>
  <c r="F54" i="2"/>
  <c r="G54" i="2"/>
  <c r="H54" i="2"/>
  <c r="I54" i="2"/>
  <c r="J54" i="2"/>
  <c r="K54" i="2"/>
  <c r="L54" i="2"/>
  <c r="M54" i="2"/>
  <c r="N54" i="2"/>
  <c r="C2" i="2"/>
  <c r="D2" i="2"/>
  <c r="E2" i="2"/>
  <c r="F2" i="2"/>
  <c r="G2" i="2"/>
  <c r="H2" i="2"/>
  <c r="I2" i="2"/>
  <c r="J2" i="2"/>
  <c r="K2" i="2"/>
  <c r="L2" i="2"/>
  <c r="M2" i="2"/>
  <c r="N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2" i="2"/>
  <c r="M15" i="1" l="1"/>
  <c r="K12" i="2" l="1"/>
  <c r="P15" i="1"/>
  <c r="N12" i="2" s="1"/>
  <c r="M14" i="1"/>
  <c r="M13" i="1"/>
  <c r="K10" i="2" s="1"/>
  <c r="K11" i="2" l="1"/>
  <c r="P14" i="1"/>
  <c r="N11" i="2" s="1"/>
  <c r="P13" i="1"/>
  <c r="N10" i="2" s="1"/>
  <c r="M12" i="1"/>
  <c r="K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tc={7D48E70F-C8A8-4AB6-931C-9A1D10D85801}</author>
    <author>tc={E3036080-73D4-43B5-A614-82B500E8DB04}</author>
    <author>tc={6D098D23-CF25-413A-9551-4FD94316DC54}</author>
    <author>tc={E7BFBBC6-71E2-49BD-81FA-C80A271D2BB6}</author>
    <author>tc={0DE58D52-4526-4B16-8E43-BC69035EB3D9}</author>
    <author>tc={4669D935-010C-4198-B83C-E399490FDD57}</author>
    <author>tc={08CB21F3-8D8D-4180-8D66-84FEA3152125}</author>
    <author>tc={CEBFEB56-C67E-4869-B65F-C48B017B7FCB}</author>
    <author>tc={945C298C-349C-4052-BADD-907754AE5665}</author>
    <author>tc={3F82AEAB-4ED8-40CE-9835-99FC3FF13D8F}</author>
    <author>tc={08D329F7-6DDF-498D-B4A7-FD69457AD465}</author>
    <author>tc={C844E657-A5EC-4C53-AF9D-2120845B3A11}</author>
    <author>tc={FE14EA94-F953-4BE0-A23F-213009F85912}</author>
    <author>tc={422EDF02-FE18-415F-AD45-87AAB436A00B}</author>
    <author>tc={BB81D040-0A7F-4098-B0B2-9DE5BB90E95E}</author>
    <author>tc={E8F91E94-C4F4-418C-B9B6-FDB4401899BD}</author>
    <author>tc={465DB0E9-D6BB-422D-8272-0005B250D6D5}</author>
    <author>tc={4E003A19-EF1D-46BC-AFCD-9287985B1E98}</author>
  </authors>
  <commentList>
    <comment ref="L6" authorId="0" shapeId="0" xr:uid="{7D48E70F-C8A8-4AB6-931C-9A1D10D85801}">
      <text>
        <t>[Threaded comment]
Your version of Excel allows you to read this threaded comment; however, any edits to it will get removed if the file is opened in a newer version of Excel. Learn more: https://go.microsoft.com/fwlink/?linkid=870924
Comment:
    EJ is the only client showing up in ERP with a sale on Q1</t>
      </text>
    </comment>
    <comment ref="P9" authorId="1" shapeId="0" xr:uid="{E3036080-73D4-43B5-A614-82B500E8DB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@Andres Montero colour this with reference to the target </t>
      </text>
    </comment>
    <comment ref="M12" authorId="2" shapeId="0" xr:uid="{6D098D23-CF25-413A-9551-4FD94316DC5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@Andres Montero please note i've fixed this cell to reflect the value in K14 as well. </t>
      </text>
    </comment>
    <comment ref="H15" authorId="3" shapeId="0" xr:uid="{E7BFBBC6-71E2-49BD-81FA-C80A271D2BB6}">
      <text>
        <t>[Threaded comment]
Your version of Excel allows you to read this threaded comment; however, any edits to it will get removed if the file is opened in a newer version of Excel. Learn more: https://go.microsoft.com/fwlink/?linkid=870924
Comment:
    Delloitte is being counted as Manzoor has a convo with a different part of the account</t>
      </text>
    </comment>
    <comment ref="H16" authorId="4" shapeId="0" xr:uid="{0DE58D52-4526-4B16-8E43-BC69035EB3D9}">
      <text>
        <t>[Threaded comment]
Your version of Excel allows you to read this threaded comment; however, any edits to it will get removed if the file is opened in a newer version of Excel. Learn more: https://go.microsoft.com/fwlink/?linkid=870924
Comment:
    Delloitte is being counted as Manzoor has a convo with a different part of the account</t>
      </text>
    </comment>
    <comment ref="H17" authorId="5" shapeId="0" xr:uid="{4669D935-010C-4198-B83C-E399490FDD57}">
      <text>
        <t>[Threaded comment]
Your version of Excel allows you to read this threaded comment; however, any edits to it will get removed if the file is opened in a newer version of Excel. Learn more: https://go.microsoft.com/fwlink/?linkid=870924
Comment:
    Delloitte is being counted as Manzoor has a convo with a different part of the account</t>
      </text>
    </comment>
    <comment ref="F23" authorId="6" shapeId="0" xr:uid="{08CB21F3-8D8D-4180-8D66-84FEA3152125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can you review and update the colours pls. Heres the method to use:
For ones like this where the target is for the FY we need to pro-rate. 
we are 5 months into the FY so if on target we would have 5/12*100 = 42 conversations
we are 37/42 which us 88%. Anything on or over 100% is green. Anything between 75% and 99% is amber
makes sense?</t>
      </text>
    </comment>
    <comment ref="E25" authorId="7" shapeId="0" xr:uid="{CEBFEB56-C67E-4869-B65F-C48B017B7FCB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we need to have a think about this and what we do. perhaps get Lise's thoughts</t>
      </text>
    </comment>
    <comment ref="J25" authorId="8" shapeId="0" xr:uid="{945C298C-349C-4052-BADD-907754AE5665}">
      <text>
        <t>[Threaded comment]
Your version of Excel allows you to read this threaded comment; however, any edits to it will get removed if the file is opened in a newer version of Excel. Learn more: https://go.microsoft.com/fwlink/?linkid=870924
Comment:
    PowerBI report was not working during these weeks.</t>
      </text>
    </comment>
    <comment ref="D26" authorId="9" shapeId="0" xr:uid="{3F82AEAB-4ED8-40CE-9835-99FC3FF13D8F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I don't think this stat is correct - does it include my post stats?</t>
      </text>
    </comment>
    <comment ref="J28" authorId="10" shapeId="0" xr:uid="{08D329F7-6DDF-498D-B4A7-FD69457AD465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- this number does not look correct - can you check pls</t>
      </text>
    </comment>
    <comment ref="J29" authorId="11" shapeId="0" xr:uid="{C844E657-A5EC-4C53-AF9D-2120845B3A11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- this number does not look correct - can you check pls
Reply:
    @Andres Montero this figure Is not correct can you fix this please. SAP is saying it is £862K</t>
      </text>
    </comment>
    <comment ref="M29" authorId="12" shapeId="0" xr:uid="{FE14EA94-F953-4BE0-A23F-213009F85912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this figure is incorrect because of J29</t>
      </text>
    </comment>
    <comment ref="K30" authorId="13" shapeId="0" xr:uid="{422EDF02-FE18-415F-AD45-87AAB436A00B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- please review colour coding . .. See earlier comments on how to  do this thanks!</t>
      </text>
    </comment>
    <comment ref="M30" authorId="14" shapeId="0" xr:uid="{BB81D040-0A7F-4098-B0B2-9DE5BB90E95E}">
      <text>
        <t>[Threaded comment]
Your version of Excel allows you to read this threaded comment; however, any edits to it will get removed if the file is opened in a newer version of Excel. Learn more: https://go.microsoft.com/fwlink/?linkid=870924
Comment:
    Bacuase we are at end of Q</t>
      </text>
    </comment>
    <comment ref="I35" authorId="15" shapeId="0" xr:uid="{E8F91E94-C4F4-418C-B9B6-FDB4401899BD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can you change this back to 9 please and the previous weeks.
We don't count the SQLs for 'small' accounts (&lt;£250K)</t>
      </text>
    </comment>
    <comment ref="I36" authorId="16" shapeId="0" xr:uid="{465DB0E9-D6BB-422D-8272-0005B250D6D5}">
      <text>
        <t>[Threaded comment]
Your version of Excel allows you to read this threaded comment; however, any edits to it will get removed if the file is opened in a newer version of Excel. Learn more: https://go.microsoft.com/fwlink/?linkid=870924
Comment:
    @Andres Montero I've corrected this to 10 and the previous ones to 9 - see my previous comments on this.
Soes this make sense to you?
Reply:
    Makes sense Danny! Hadn't seen the previous comment sorry~</t>
      </text>
    </comment>
    <comment ref="K36" authorId="17" shapeId="0" xr:uid="{4E003A19-EF1D-46BC-AFCD-9287985B1E98}">
      <text>
        <t>[Threaded comment]
Your version of Excel allows you to read this threaded comment; however, any edits to it will get removed if the file is opened in a newer version of Excel. Learn more: https://go.microsoft.com/fwlink/?linkid=870924
Comment:
    Hi @Andres Montero - this does not make sense - how could cumulative s/order decrease from previous week?
Reply:
    Fixed, model did not update filters when the data was updated. Checked the other values too. This was the only one affected</t>
      </text>
    </comment>
  </commentList>
</comments>
</file>

<file path=xl/sharedStrings.xml><?xml version="1.0" encoding="utf-8"?>
<sst xmlns="http://schemas.openxmlformats.org/spreadsheetml/2006/main" count="276" uniqueCount="138">
  <si>
    <t>KPIs
Month</t>
  </si>
  <si>
    <t>Number of introductions asked</t>
  </si>
  <si>
    <t>Number of introductions obtained to influencers and decision-makers in ICP accounts</t>
  </si>
  <si>
    <t>Number of active conversations</t>
  </si>
  <si>
    <t>New SQLs (cumulative for FY)</t>
  </si>
  <si>
    <t>Largest client sales orders as a % of total sales orders in current FY </t>
  </si>
  <si>
    <t>Invoice forecast for current FY</t>
  </si>
  <si>
    <t>Total Weighted size of the sales pipeline</t>
  </si>
  <si>
    <t>Cumulative Sales orders won in the FYE to-date</t>
  </si>
  <si>
    <t>Financial Year</t>
  </si>
  <si>
    <t>Quarterly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</si>
  <si>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</si>
  <si>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</si>
  <si>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</si>
  <si>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</si>
  <si>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</si>
  <si>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</si>
  <si>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</si>
  <si>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</si>
  <si>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</si>
  <si>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</si>
  <si>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</si>
  <si>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</si>
  <si>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Goals</t>
  </si>
  <si>
    <t>Weekly</t>
  </si>
  <si>
    <t>KPIs
w/c</t>
  </si>
  <si>
    <t>Number of engagements in SM (cummulative across posts)</t>
  </si>
  <si>
    <t>Employees engaging with our top weekly insight</t>
  </si>
  <si>
    <t>Sales orders won in the current quarter</t>
  </si>
  <si>
    <t>Current Quarter Sales Order Forecast</t>
  </si>
  <si>
    <t>Next Quarter Sales Orders Forecast</t>
  </si>
  <si>
    <t>Quarter 1</t>
  </si>
  <si>
    <t>Week 1</t>
  </si>
  <si>
    <t>Week 2</t>
  </si>
  <si>
    <t>Week 3</t>
  </si>
  <si>
    <t>-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</si>
  <si>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</si>
  <si>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</si>
  <si>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</si>
  <si>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</si>
  <si>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</si>
  <si>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</si>
  <si>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</si>
  <si>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</si>
  <si>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</si>
  <si>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</si>
  <si>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Quarter 2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</si>
  <si>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</si>
  <si>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</si>
  <si>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</si>
  <si>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</si>
  <si>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</si>
  <si>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</si>
  <si>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</si>
  <si>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</si>
  <si>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</si>
  <si>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</si>
  <si>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</si>
  <si>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</si>
  <si>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</si>
  <si>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Quarter 3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</si>
  <si>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</si>
  <si>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</si>
  <si>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</si>
  <si>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</si>
  <si>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</si>
  <si>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</si>
  <si>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</si>
  <si>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</si>
  <si>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</si>
  <si>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</si>
  <si>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</si>
  <si>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</si>
  <si>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</si>
  <si>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Quarter 4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</si>
  <si>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</si>
  <si>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</si>
  <si>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</si>
  <si>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</si>
  <si>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</si>
  <si>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</si>
  <si>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</si>
  <si>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</si>
  <si>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</si>
  <si>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</si>
  <si>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</si>
  <si>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</si>
  <si>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</si>
  <si>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</si>
  <si>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Monthly</t>
  </si>
  <si>
    <t>KPIs</t>
  </si>
  <si>
    <t>Size of the Unweighted Sales Pipeline</t>
  </si>
  <si>
    <t>Invoice Revenue in current FY</t>
  </si>
  <si>
    <t>Months</t>
  </si>
  <si>
    <t>Weeks</t>
  </si>
  <si>
    <t>Employees engaging with our insights</t>
  </si>
  <si>
    <t>Source</t>
  </si>
  <si>
    <t>Goal</t>
  </si>
  <si>
    <t>Total</t>
  </si>
  <si>
    <t>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</si>
  <si>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</si>
  <si>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</si>
  <si>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</si>
  <si>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</si>
  <si>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</si>
  <si>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</si>
  <si>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</si>
  <si>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</si>
  <si>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</si>
  <si>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Unweighted Sales Pipeline</t>
  </si>
  <si>
    <t>Target</t>
  </si>
  <si>
    <t>Row Labels</t>
  </si>
  <si>
    <t>Grand Total</t>
  </si>
  <si>
    <t>Intros obtained</t>
  </si>
  <si>
    <t>Intros asked for</t>
  </si>
  <si>
    <t>Nov</t>
  </si>
  <si>
    <t>Max of New SQLs (cumulative for FY)</t>
  </si>
  <si>
    <t>Max of Unweighted Sales Pipeline</t>
  </si>
  <si>
    <t>Max of Target</t>
  </si>
  <si>
    <t>MQLs</t>
  </si>
  <si>
    <t>Max of Lead 1</t>
  </si>
  <si>
    <t>Max of Lead 2</t>
  </si>
  <si>
    <t>Max of Lead 3</t>
  </si>
  <si>
    <t>Max of Lead 4</t>
  </si>
  <si>
    <t>Max of Lead 5</t>
  </si>
  <si>
    <t>Max of Lead 6</t>
  </si>
  <si>
    <t>Max of Lead 7</t>
  </si>
  <si>
    <t>Max of Lead 8</t>
  </si>
  <si>
    <t>Partner1</t>
  </si>
  <si>
    <t>Partner2</t>
  </si>
  <si>
    <t>Partner3</t>
  </si>
  <si>
    <t>Partner4</t>
  </si>
  <si>
    <t>Partner5</t>
  </si>
  <si>
    <t>Partner6</t>
  </si>
  <si>
    <t>Partner7</t>
  </si>
  <si>
    <t>Partner8</t>
  </si>
  <si>
    <t>Sales orders won by client directors (not Partner1 or Partner2)</t>
  </si>
  <si>
    <t>Sum of Sales orders won by client directors (not founders)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</si>
</sst>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\ #,##0.0,,&quot;M&quot;"/>
  </numFmts>
  <fonts count="6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sz val="8"/>
      <name val="Calibri Light"/>
      <family val="2"/>
      <scheme val="minor"/>
    </font>
    <font>
      <sz val="11"/>
      <color rgb="FFFFFFFF"/>
      <name val="Calibri"/>
      <family val="2"/>
    </font>
    <font>
      <b/>
      <sz val="9"/>
      <color theme="1"/>
      <name val="Calibri Light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/>
      <right style="medium">
        <color theme="3" tint="-0.249977111117893"/>
      </right>
      <top/>
      <bottom/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theme="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thin">
        <color theme="3" tint="0.79998168889431442"/>
      </bottom>
      <diagonal/>
    </border>
    <border>
      <left/>
      <right/>
      <top style="medium">
        <color theme="3" tint="-0.249977111117893"/>
      </top>
      <bottom style="thin">
        <color theme="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indexed="64"/>
      </left>
      <right style="medium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/>
      <right/>
      <top style="medium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 style="thin">
        <color theme="3" tint="0.79998168889431442"/>
      </bottom>
      <diagonal/>
    </border>
    <border>
      <left style="medium">
        <color theme="3" tint="-0.249977111117893"/>
      </left>
      <right style="medium">
        <color indexed="64"/>
      </right>
      <top style="medium">
        <color indexed="64"/>
      </top>
      <bottom style="thin">
        <color theme="3" tint="0.79998168889431442"/>
      </bottom>
      <diagonal/>
    </border>
    <border>
      <left style="medium">
        <color indexed="6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indexed="64"/>
      </right>
      <top/>
      <bottom style="thin">
        <color theme="3" tint="0.79998168889431442"/>
      </bottom>
      <diagonal/>
    </border>
    <border>
      <left style="medium">
        <color indexed="64"/>
      </left>
      <right style="medium">
        <color theme="3" tint="-0.249977111117893"/>
      </right>
      <top style="medium">
        <color theme="3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3" tint="-0.249977111117893"/>
      </right>
      <top style="medium">
        <color indexed="64"/>
      </top>
      <bottom style="thin">
        <color theme="3" tint="0.79998168889431442"/>
      </bottom>
      <diagonal/>
    </border>
    <border>
      <left style="medium">
        <color indexed="64"/>
      </left>
      <right style="medium">
        <color theme="3" tint="-0.249977111117893"/>
      </right>
      <top/>
      <bottom style="thin">
        <color theme="3" tint="0.79998168889431442"/>
      </bottom>
      <diagonal/>
    </border>
    <border>
      <left style="medium">
        <color indexed="64"/>
      </left>
      <right style="medium">
        <color theme="3" tint="-0.249977111117893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3"/>
      </bottom>
      <diagonal/>
    </border>
    <border>
      <left style="medium">
        <color theme="3" tint="-0.249977111117893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3" tint="0.79998168889431442"/>
      </top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thin">
        <color theme="3" tint="0.79998168889431442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2" borderId="14" xfId="0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9" fontId="0" fillId="0" borderId="12" xfId="2" applyFont="1" applyBorder="1" applyAlignment="1">
      <alignment horizontal="center" vertical="center"/>
    </xf>
    <xf numFmtId="9" fontId="0" fillId="2" borderId="15" xfId="2" applyFont="1" applyFill="1" applyBorder="1" applyAlignment="1">
      <alignment horizontal="center"/>
    </xf>
    <xf numFmtId="3" fontId="0" fillId="6" borderId="12" xfId="0" applyNumberFormat="1" applyFill="1" applyBorder="1" applyAlignment="1">
      <alignment horizontal="center" vertical="center"/>
    </xf>
    <xf numFmtId="9" fontId="0" fillId="6" borderId="12" xfId="2" applyFont="1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9" fontId="0" fillId="5" borderId="12" xfId="2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9" fontId="0" fillId="0" borderId="19" xfId="2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9" fontId="0" fillId="0" borderId="25" xfId="2" applyFont="1" applyBorder="1" applyAlignment="1">
      <alignment horizontal="center" vertical="center"/>
    </xf>
    <xf numFmtId="164" fontId="0" fillId="0" borderId="0" xfId="0" applyNumberFormat="1"/>
    <xf numFmtId="3" fontId="0" fillId="4" borderId="12" xfId="0" applyNumberFormat="1" applyFill="1" applyBorder="1" applyAlignment="1">
      <alignment horizontal="center" vertical="center"/>
    </xf>
    <xf numFmtId="14" fontId="0" fillId="0" borderId="0" xfId="0" applyNumberFormat="1"/>
    <xf numFmtId="3" fontId="0" fillId="0" borderId="0" xfId="0" applyNumberFormat="1"/>
    <xf numFmtId="9" fontId="0" fillId="0" borderId="0" xfId="2" applyFont="1"/>
    <xf numFmtId="44" fontId="0" fillId="0" borderId="0" xfId="1" applyFon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9" fontId="0" fillId="5" borderId="19" xfId="2" applyFont="1" applyFill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 vertical="center"/>
    </xf>
    <xf numFmtId="164" fontId="0" fillId="6" borderId="19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9" fontId="0" fillId="0" borderId="12" xfId="2" applyFont="1" applyFill="1" applyBorder="1" applyAlignment="1">
      <alignment horizontal="center" vertical="center"/>
    </xf>
    <xf numFmtId="164" fontId="0" fillId="0" borderId="19" xfId="1" applyNumberFormat="1" applyFont="1" applyFill="1" applyBorder="1" applyAlignment="1">
      <alignment horizontal="center" vertical="center"/>
    </xf>
    <xf numFmtId="9" fontId="0" fillId="0" borderId="19" xfId="2" applyFont="1" applyFill="1" applyBorder="1" applyAlignment="1">
      <alignment horizontal="center" vertical="center"/>
    </xf>
    <xf numFmtId="164" fontId="0" fillId="0" borderId="22" xfId="1" applyNumberFormat="1" applyFont="1" applyFill="1" applyBorder="1" applyAlignment="1">
      <alignment horizontal="center" vertical="center"/>
    </xf>
    <xf numFmtId="165" fontId="0" fillId="2" borderId="15" xfId="1" applyNumberFormat="1" applyFont="1" applyFill="1" applyBorder="1" applyAlignment="1">
      <alignment horizontal="center"/>
    </xf>
    <xf numFmtId="9" fontId="0" fillId="2" borderId="15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4" fontId="0" fillId="0" borderId="3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3" fontId="0" fillId="0" borderId="36" xfId="0" applyNumberFormat="1" applyBorder="1" applyAlignment="1">
      <alignment horizontal="center" vertical="center"/>
    </xf>
    <xf numFmtId="3" fontId="0" fillId="6" borderId="19" xfId="0" applyNumberFormat="1" applyFill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9" fontId="0" fillId="5" borderId="25" xfId="2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horizontal="center" vertical="center"/>
    </xf>
    <xf numFmtId="9" fontId="0" fillId="0" borderId="25" xfId="2" applyFont="1" applyFill="1" applyBorder="1" applyAlignment="1">
      <alignment horizontal="center" vertical="center"/>
    </xf>
    <xf numFmtId="164" fontId="0" fillId="0" borderId="26" xfId="1" applyNumberFormat="1" applyFont="1" applyFill="1" applyBorder="1" applyAlignment="1">
      <alignment horizontal="center" vertical="center"/>
    </xf>
    <xf numFmtId="14" fontId="0" fillId="0" borderId="18" xfId="0" applyNumberFormat="1" applyBorder="1" applyAlignment="1">
      <alignment vertical="center"/>
    </xf>
    <xf numFmtId="14" fontId="0" fillId="0" borderId="24" xfId="0" applyNumberFormat="1" applyBorder="1" applyAlignment="1">
      <alignment vertical="center"/>
    </xf>
    <xf numFmtId="14" fontId="0" fillId="0" borderId="3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0" fillId="0" borderId="33" xfId="2" applyNumberFormat="1" applyFont="1" applyFill="1" applyBorder="1" applyAlignment="1">
      <alignment horizontal="center" vertical="center"/>
    </xf>
    <xf numFmtId="0" fontId="0" fillId="0" borderId="34" xfId="2" applyNumberFormat="1" applyFont="1" applyFill="1" applyBorder="1" applyAlignment="1">
      <alignment horizontal="center" vertical="center"/>
    </xf>
    <xf numFmtId="0" fontId="0" fillId="2" borderId="16" xfId="2" applyNumberFormat="1" applyFont="1" applyFill="1" applyBorder="1" applyAlignment="1">
      <alignment horizontal="center"/>
    </xf>
    <xf numFmtId="165" fontId="0" fillId="2" borderId="16" xfId="0" applyNumberFormat="1" applyFill="1" applyBorder="1" applyAlignment="1">
      <alignment horizontal="center"/>
    </xf>
    <xf numFmtId="164" fontId="0" fillId="0" borderId="30" xfId="1" applyNumberFormat="1" applyFont="1" applyFill="1" applyBorder="1" applyAlignment="1">
      <alignment horizontal="center" vertical="center"/>
    </xf>
    <xf numFmtId="164" fontId="0" fillId="0" borderId="31" xfId="1" applyNumberFormat="1" applyFont="1" applyFill="1" applyBorder="1" applyAlignment="1">
      <alignment horizontal="center" vertical="center"/>
    </xf>
    <xf numFmtId="164" fontId="0" fillId="0" borderId="40" xfId="1" applyNumberFormat="1" applyFont="1" applyFill="1" applyBorder="1" applyAlignment="1">
      <alignment horizontal="center" vertical="center"/>
    </xf>
    <xf numFmtId="0" fontId="0" fillId="6" borderId="32" xfId="2" applyNumberFormat="1" applyFont="1" applyFill="1" applyBorder="1" applyAlignment="1">
      <alignment horizontal="center" vertical="center"/>
    </xf>
    <xf numFmtId="0" fontId="0" fillId="6" borderId="33" xfId="2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" fontId="0" fillId="0" borderId="0" xfId="0" applyNumberFormat="1"/>
    <xf numFmtId="3" fontId="0" fillId="0" borderId="1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4" borderId="25" xfId="0" applyNumberFormat="1" applyFill="1" applyBorder="1" applyAlignment="1">
      <alignment horizontal="center" vertical="center"/>
    </xf>
    <xf numFmtId="3" fontId="0" fillId="6" borderId="25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1" fontId="0" fillId="5" borderId="12" xfId="2" applyNumberFormat="1" applyFont="1" applyFill="1" applyBorder="1" applyAlignment="1">
      <alignment horizontal="center" vertical="center"/>
    </xf>
    <xf numFmtId="164" fontId="0" fillId="7" borderId="12" xfId="1" applyNumberFormat="1" applyFont="1" applyFill="1" applyBorder="1" applyAlignment="1">
      <alignment horizontal="center" vertical="center"/>
    </xf>
    <xf numFmtId="9" fontId="0" fillId="7" borderId="12" xfId="2" applyFont="1" applyFill="1" applyBorder="1" applyAlignment="1">
      <alignment horizontal="center" vertical="center"/>
    </xf>
    <xf numFmtId="3" fontId="0" fillId="5" borderId="25" xfId="0" applyNumberFormat="1" applyFill="1" applyBorder="1" applyAlignment="1">
      <alignment horizontal="center" vertical="center"/>
    </xf>
    <xf numFmtId="164" fontId="0" fillId="5" borderId="25" xfId="1" applyNumberFormat="1" applyFont="1" applyFill="1" applyBorder="1" applyAlignment="1">
      <alignment horizontal="center" vertical="center"/>
    </xf>
    <xf numFmtId="164" fontId="0" fillId="5" borderId="12" xfId="1" applyNumberFormat="1" applyFont="1" applyFill="1" applyBorder="1" applyAlignment="1">
      <alignment horizontal="center" vertical="center"/>
    </xf>
    <xf numFmtId="164" fontId="0" fillId="6" borderId="12" xfId="1" applyNumberFormat="1" applyFont="1" applyFill="1" applyBorder="1" applyAlignment="1">
      <alignment horizontal="center" vertical="center"/>
    </xf>
    <xf numFmtId="164" fontId="0" fillId="5" borderId="19" xfId="1" applyNumberFormat="1" applyFon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4" borderId="25" xfId="1" applyNumberFormat="1" applyFont="1" applyFill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164" fontId="0" fillId="0" borderId="48" xfId="1" applyNumberFormat="1" applyFont="1" applyFill="1" applyBorder="1" applyAlignment="1">
      <alignment horizontal="center" vertical="center"/>
    </xf>
    <xf numFmtId="164" fontId="0" fillId="0" borderId="49" xfId="1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5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numFmt numFmtId="164" formatCode="_-&quot;£&quot;* #,##0_-;\-&quot;£&quot;* #,##0_-;_-&quot;£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inor"/>
      </font>
      <numFmt numFmtId="164" formatCode="_-&quot;£&quot;* #,##0_-;\-&quot;£&quot;* #,##0_-;_-&quot;£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_-&quot;£&quot;* #,##0_-;\-&quot;£&quot;* #,##0_-;_-&quot;£&quot;* &quot;-&quot;??_-;_-@_-"/>
    </dxf>
    <dxf>
      <numFmt numFmtId="19" formatCode="dd/mm/yyyy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microsoft.com/office/2017/10/relationships/person" Target="persons/perso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pivotCacheDefinition" Target="pivotCache/pivotCacheDefinition4.xml"/><Relationship Id="rId25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6" Type="http://schemas.openxmlformats.org/officeDocument/2006/relationships/pivotCacheDefinition" Target="pivotCache/pivotCacheDefinition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pivotCacheDefinition" Target="pivotCache/pivotCacheDefinition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'Weekly Scorecard'!$P$3</c:f>
              <c:strCache>
                <c:ptCount val="1"/>
                <c:pt idx="0">
                  <c:v>Total Weighted size of the sales pipeline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'Weekly Scorecard'!$C$6:$C$57</c:f>
              <c:numCache>
                <c:formatCode>m/d/yyyy</c:formatCode>
                <c:ptCount val="52"/>
                <c:pt idx="0">
                  <c:v>44662</c:v>
                </c:pt>
                <c:pt idx="1">
                  <c:v>44669</c:v>
                </c:pt>
                <c:pt idx="2">
                  <c:v>44676</c:v>
                </c:pt>
                <c:pt idx="3">
                  <c:v>44683</c:v>
                </c:pt>
                <c:pt idx="4">
                  <c:v>44690</c:v>
                </c:pt>
                <c:pt idx="5">
                  <c:v>44697</c:v>
                </c:pt>
                <c:pt idx="6">
                  <c:v>44704</c:v>
                </c:pt>
                <c:pt idx="7">
                  <c:v>44711</c:v>
                </c:pt>
                <c:pt idx="8">
                  <c:v>44718</c:v>
                </c:pt>
                <c:pt idx="9">
                  <c:v>44725</c:v>
                </c:pt>
                <c:pt idx="10">
                  <c:v>44732</c:v>
                </c:pt>
                <c:pt idx="11">
                  <c:v>44739</c:v>
                </c:pt>
                <c:pt idx="12">
                  <c:v>44746</c:v>
                </c:pt>
                <c:pt idx="13">
                  <c:v>44753</c:v>
                </c:pt>
                <c:pt idx="14">
                  <c:v>44760</c:v>
                </c:pt>
                <c:pt idx="15">
                  <c:v>44767</c:v>
                </c:pt>
                <c:pt idx="16">
                  <c:v>44774</c:v>
                </c:pt>
                <c:pt idx="17">
                  <c:v>44781</c:v>
                </c:pt>
                <c:pt idx="18">
                  <c:v>44788</c:v>
                </c:pt>
                <c:pt idx="19">
                  <c:v>44795</c:v>
                </c:pt>
                <c:pt idx="20">
                  <c:v>44802</c:v>
                </c:pt>
                <c:pt idx="21">
                  <c:v>44809</c:v>
                </c:pt>
                <c:pt idx="22">
                  <c:v>44816</c:v>
                </c:pt>
                <c:pt idx="23">
                  <c:v>44823</c:v>
                </c:pt>
                <c:pt idx="24">
                  <c:v>44830</c:v>
                </c:pt>
                <c:pt idx="25">
                  <c:v>44837</c:v>
                </c:pt>
                <c:pt idx="26">
                  <c:v>44844</c:v>
                </c:pt>
                <c:pt idx="27">
                  <c:v>44851</c:v>
                </c:pt>
                <c:pt idx="28">
                  <c:v>44858</c:v>
                </c:pt>
                <c:pt idx="29">
                  <c:v>44865</c:v>
                </c:pt>
                <c:pt idx="30">
                  <c:v>44872</c:v>
                </c:pt>
                <c:pt idx="31">
                  <c:v>44879</c:v>
                </c:pt>
                <c:pt idx="32">
                  <c:v>44886</c:v>
                </c:pt>
                <c:pt idx="33">
                  <c:v>44893</c:v>
                </c:pt>
                <c:pt idx="34">
                  <c:v>44900</c:v>
                </c:pt>
                <c:pt idx="35">
                  <c:v>44907</c:v>
                </c:pt>
                <c:pt idx="36">
                  <c:v>44914</c:v>
                </c:pt>
                <c:pt idx="37">
                  <c:v>44921</c:v>
                </c:pt>
                <c:pt idx="38">
                  <c:v>44928</c:v>
                </c:pt>
                <c:pt idx="39">
                  <c:v>44935</c:v>
                </c:pt>
                <c:pt idx="40">
                  <c:v>44942</c:v>
                </c:pt>
                <c:pt idx="41">
                  <c:v>44949</c:v>
                </c:pt>
                <c:pt idx="42">
                  <c:v>44956</c:v>
                </c:pt>
                <c:pt idx="43">
                  <c:v>44963</c:v>
                </c:pt>
                <c:pt idx="44">
                  <c:v>44970</c:v>
                </c:pt>
                <c:pt idx="45">
                  <c:v>44977</c:v>
                </c:pt>
                <c:pt idx="46">
                  <c:v>44984</c:v>
                </c:pt>
                <c:pt idx="47">
                  <c:v>44991</c:v>
                </c:pt>
                <c:pt idx="48">
                  <c:v>44998</c:v>
                </c:pt>
                <c:pt idx="49">
                  <c:v>45005</c:v>
                </c:pt>
                <c:pt idx="50">
                  <c:v>45012</c:v>
                </c:pt>
                <c:pt idx="51">
                  <c:v>45019</c:v>
                </c:pt>
              </c:numCache>
            </c:numRef>
          </c:cat>
          <c:val>
            <c:numRef>
              <c:f>'Weekly Scorecard'!$P$4:$P$39</c:f>
              <c:numCache>
                <c:formatCode>_-"£"* #,##0_-;\-"£"* #,##0_-;_-"£"* "-"??_-;_-@_-</c:formatCode>
                <c:ptCount val="36"/>
                <c:pt idx="1">
                  <c:v>1365485</c:v>
                </c:pt>
                <c:pt idx="2">
                  <c:v>1365485</c:v>
                </c:pt>
                <c:pt idx="3">
                  <c:v>1325125</c:v>
                </c:pt>
                <c:pt idx="4">
                  <c:v>1558390</c:v>
                </c:pt>
                <c:pt idx="5">
                  <c:v>1687815</c:v>
                </c:pt>
                <c:pt idx="6">
                  <c:v>1755365</c:v>
                </c:pt>
                <c:pt idx="7">
                  <c:v>2332000</c:v>
                </c:pt>
                <c:pt idx="8">
                  <c:v>2513194</c:v>
                </c:pt>
                <c:pt idx="9">
                  <c:v>3050453</c:v>
                </c:pt>
                <c:pt idx="10">
                  <c:v>3410258</c:v>
                </c:pt>
                <c:pt idx="11">
                  <c:v>3467743</c:v>
                </c:pt>
                <c:pt idx="12">
                  <c:v>7318889</c:v>
                </c:pt>
                <c:pt idx="13">
                  <c:v>8237839.4500000002</c:v>
                </c:pt>
                <c:pt idx="14">
                  <c:v>1846270</c:v>
                </c:pt>
                <c:pt idx="15">
                  <c:v>1357279</c:v>
                </c:pt>
                <c:pt idx="16">
                  <c:v>1477554</c:v>
                </c:pt>
                <c:pt idx="17">
                  <c:v>1656970</c:v>
                </c:pt>
                <c:pt idx="18">
                  <c:v>1411640</c:v>
                </c:pt>
                <c:pt idx="19">
                  <c:v>1910886</c:v>
                </c:pt>
                <c:pt idx="20">
                  <c:v>2083461</c:v>
                </c:pt>
                <c:pt idx="21">
                  <c:v>1653656</c:v>
                </c:pt>
                <c:pt idx="22">
                  <c:v>1817433</c:v>
                </c:pt>
                <c:pt idx="23">
                  <c:v>2398591</c:v>
                </c:pt>
                <c:pt idx="24">
                  <c:v>2555013</c:v>
                </c:pt>
                <c:pt idx="25">
                  <c:v>2941792</c:v>
                </c:pt>
                <c:pt idx="26">
                  <c:v>1489967</c:v>
                </c:pt>
                <c:pt idx="27">
                  <c:v>3157677</c:v>
                </c:pt>
                <c:pt idx="28">
                  <c:v>3156123</c:v>
                </c:pt>
                <c:pt idx="29">
                  <c:v>3130295</c:v>
                </c:pt>
                <c:pt idx="30">
                  <c:v>2398719</c:v>
                </c:pt>
                <c:pt idx="31">
                  <c:v>2464249</c:v>
                </c:pt>
                <c:pt idx="32">
                  <c:v>2551445</c:v>
                </c:pt>
                <c:pt idx="33">
                  <c:v>2901343</c:v>
                </c:pt>
                <c:pt idx="34">
                  <c:v>2895475</c:v>
                </c:pt>
                <c:pt idx="35">
                  <c:v>3361435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B-4D24-B632-B22D7E2D8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191104"/>
        <c:axId val="357192352"/>
      </c:lineChart>
      <c:dateAx>
        <c:axId val="3571911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192352"/>
        <c:crosses val="autoZero"/>
        <c:auto val="1"/>
        <c:lblOffset val="100"/>
        <c:baseTimeUnit val="days"/>
      </c:dateAx>
      <c:valAx>
        <c:axId val="3571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19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 and Marketing Scorecard Template.xlsx]Sales orders by CD Chart!PivotTable1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Sales orders won by client directors (not founders)</a:t>
            </a:r>
            <a:r>
              <a:rPr lang="en-GB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orders by CD Chart'!$B$1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orders by CD Chart'!$A$2:$A$10</c:f>
              <c:strCache>
                <c:ptCount val="8"/>
                <c:pt idx="0">
                  <c:v>Nov</c:v>
                </c:pt>
                <c:pt idx="1">
                  <c:v>Oct</c:v>
                </c:pt>
                <c:pt idx="2">
                  <c:v>Sep</c:v>
                </c:pt>
                <c:pt idx="3">
                  <c:v>Aug</c:v>
                </c:pt>
                <c:pt idx="4">
                  <c:v>Jul</c:v>
                </c:pt>
                <c:pt idx="5">
                  <c:v>Jun</c:v>
                </c:pt>
                <c:pt idx="6">
                  <c:v>May</c:v>
                </c:pt>
                <c:pt idx="7">
                  <c:v>Apr</c:v>
                </c:pt>
              </c:strCache>
            </c:strRef>
          </c:cat>
          <c:val>
            <c:numRef>
              <c:f>'Sales orders by CD Chart'!$B$2:$B$10</c:f>
              <c:numCache>
                <c:formatCode>General</c:formatCode>
                <c:ptCount val="8"/>
                <c:pt idx="0">
                  <c:v>541250</c:v>
                </c:pt>
                <c:pt idx="1">
                  <c:v>394619</c:v>
                </c:pt>
                <c:pt idx="2">
                  <c:v>729596</c:v>
                </c:pt>
                <c:pt idx="3">
                  <c:v>22000</c:v>
                </c:pt>
                <c:pt idx="4">
                  <c:v>223369</c:v>
                </c:pt>
                <c:pt idx="5">
                  <c:v>169900</c:v>
                </c:pt>
                <c:pt idx="6">
                  <c:v>980010</c:v>
                </c:pt>
                <c:pt idx="7">
                  <c:v>24800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B-494B-90A7-A2AB87B1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64363200"/>
        <c:axId val="1264368608"/>
      </c:barChart>
      <c:catAx>
        <c:axId val="126436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368608"/>
        <c:crosses val="autoZero"/>
        <c:auto val="1"/>
        <c:lblAlgn val="ctr"/>
        <c:lblOffset val="100"/>
        <c:noMultiLvlLbl val="0"/>
      </c:catAx>
      <c:valAx>
        <c:axId val="12643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3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 and Marketing Scorecard Template.xlsx]Intros Chart!PivotTable1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Cumulative introductions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'Intros Chart'!$B$1</c:f>
              <c:strCache>
                <c:ptCount val="1"/>
                <c:pt idx="0">
                  <c:v>Intros obtained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'Intros Chart'!$A$2:$A$10</c:f>
              <c:strCache>
                <c:ptCount val="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</c:strCache>
            </c:strRef>
          </c:cat>
          <c:val>
            <c:numRef>
              <c:f>'Intros Chart'!$B$2:$B$10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3-494D-AAFD-09AD869BBF89}"/>
            </c:ext>
          </c:extLst>
        </c:ser>
        <c:ser>
          <c:idx val="1"/>
          <c:order val="1"/>
          <c:tx>
            <c:strRef>
              <c:f>'Intros Chart'!$C$1</c:f>
              <c:strCache>
                <c:ptCount val="1"/>
                <c:pt idx="0">
                  <c:v>Intros asked for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'Intros Chart'!$A$2:$A$10</c:f>
              <c:strCache>
                <c:ptCount val="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</c:strCache>
            </c:strRef>
          </c:cat>
          <c:val>
            <c:numRef>
              <c:f>'Intros Chart'!$C$2:$C$10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26</c:v>
                </c:pt>
                <c:pt idx="3">
                  <c:v>35</c:v>
                </c:pt>
                <c:pt idx="4">
                  <c:v>39</c:v>
                </c:pt>
                <c:pt idx="5">
                  <c:v>39</c:v>
                </c:pt>
                <c:pt idx="6">
                  <c:v>41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03-494D-AAFD-09AD869B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905961136"/>
        <c:axId val="889564608"/>
      </c:barChart>
      <c:catAx>
        <c:axId val="90596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64608"/>
        <c:crosses val="autoZero"/>
        <c:auto val="1"/>
        <c:lblAlgn val="ctr"/>
        <c:lblOffset val="100"/>
        <c:noMultiLvlLbl val="0"/>
      </c:catAx>
      <c:valAx>
        <c:axId val="889564608"/>
        <c:scaling>
          <c:orientation val="minMax"/>
          <c:max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90596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4305555555555556E-2"/>
          <c:w val="0.24153089111283774"/>
          <c:h val="0.16340587634878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 and Marketing Scorecard Template.xlsx]SQLs Chart!PivotTable2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Cumulative</a:t>
            </a:r>
            <a:r>
              <a:rPr lang="en-US"/>
              <a:t> SQLs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'SQLs Chart'!$B$1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'SQLs Chart'!$A$2:$A$9</c:f>
              <c:strCache>
                <c:ptCount val="7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</c:strCache>
            </c:strRef>
          </c:cat>
          <c:val>
            <c:numRef>
              <c:f>'SQLs Chart'!$B$2:$B$9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D-4247-B098-E237CA3B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0434240"/>
        <c:axId val="1860432992"/>
      </c:barChart>
      <c:catAx>
        <c:axId val="18604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432992"/>
        <c:crosses val="autoZero"/>
        <c:auto val="1"/>
        <c:lblAlgn val="ctr"/>
        <c:lblOffset val="100"/>
        <c:noMultiLvlLbl val="0"/>
      </c:catAx>
      <c:valAx>
        <c:axId val="1860432992"/>
        <c:scaling>
          <c:orientation val="minMax"/>
          <c:max val="20"/>
        </c:scaling>
        <c:delete val="1"/>
        <c:axPos val="l"/>
        <c:numFmt formatCode="General" sourceLinked="1"/>
        <c:majorTickMark val="none"/>
        <c:minorTickMark val="none"/>
        <c:tickLblPos val="nextTo"/>
        <c:crossAx val="186043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 and Marketing Scorecard Template.xlsx]Convos chart!PivotTable3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Conversations per client</a:t>
            </a:r>
            <a:r>
              <a:rPr lang="en-GB" baseline="0"/>
              <a:t> director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6.7819181870971655E-17"/>
              <c:y val="-3.3223402529861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0"/>
              <c:y val="-1.90088255261371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'Convos chart'!$C$1</c:f>
              <c:strCache>
                <c:ptCount val="1"/>
                <c:pt idx="0">
                  <c:v>Max of Lead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chart'!$C$2:$C$10</c:f>
              <c:numCache>
                <c:formatCode>General</c:formatCode>
                <c:ptCount val="8"/>
                <c:pt idx="0">
                  <c:v>18</c:v>
                </c:pt>
                <c:pt idx="1">
                  <c:v>17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FE-4ACF-8612-34BCF49A63F0}"/>
            </c:ext>
          </c:extLst>
        </c:ser>
        <c:ser>
          <c:idx val="2"/>
          <c:order val="2"/>
          <c:tx>
            <c:strRef>
              <c:f>'Convos chart'!$D$1</c:f>
              <c:strCache>
                <c:ptCount val="1"/>
                <c:pt idx="0">
                  <c:v>Max of Lead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chart'!$D$2:$D$10</c:f>
              <c:numCache>
                <c:formatCode>General</c:formatCode>
                <c:ptCount val="8"/>
                <c:pt idx="0">
                  <c:v>18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FE-4ACF-8612-34BCF49A63F0}"/>
            </c:ext>
          </c:extLst>
        </c:ser>
        <c:ser>
          <c:idx val="3"/>
          <c:order val="3"/>
          <c:tx>
            <c:strRef>
              <c:f>'Convos chart'!$E$1</c:f>
              <c:strCache>
                <c:ptCount val="1"/>
                <c:pt idx="0">
                  <c:v>Max of Lead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chart'!$E$2:$E$10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FE-4ACF-8612-34BCF49A63F0}"/>
            </c:ext>
          </c:extLst>
        </c:ser>
        <c:ser>
          <c:idx val="4"/>
          <c:order val="4"/>
          <c:tx>
            <c:strRef>
              <c:f>'Convos chart'!$F$1</c:f>
              <c:strCache>
                <c:ptCount val="1"/>
                <c:pt idx="0">
                  <c:v>Max of Lead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chart'!$F$2:$F$10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8-4727-8EAA-31A2F2D9BB49}"/>
            </c:ext>
          </c:extLst>
        </c:ser>
        <c:ser>
          <c:idx val="5"/>
          <c:order val="5"/>
          <c:tx>
            <c:strRef>
              <c:f>'Convos chart'!$G$1</c:f>
              <c:strCache>
                <c:ptCount val="1"/>
                <c:pt idx="0">
                  <c:v>Max of Lead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chart'!$G$2:$G$10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8-4727-8EAA-31A2F2D9BB49}"/>
            </c:ext>
          </c:extLst>
        </c:ser>
        <c:ser>
          <c:idx val="6"/>
          <c:order val="6"/>
          <c:tx>
            <c:strRef>
              <c:f>'Convos chart'!$H$1</c:f>
              <c:strCache>
                <c:ptCount val="1"/>
                <c:pt idx="0">
                  <c:v>Max of Lead 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chart'!$H$2:$H$10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8-4727-8EAA-31A2F2D9BB49}"/>
            </c:ext>
          </c:extLst>
        </c:ser>
        <c:ser>
          <c:idx val="7"/>
          <c:order val="7"/>
          <c:tx>
            <c:strRef>
              <c:f>'Convos chart'!$I$1</c:f>
              <c:strCache>
                <c:ptCount val="1"/>
                <c:pt idx="0">
                  <c:v>Max of Lead 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chart'!$I$2:$I$10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38-4727-8EAA-31A2F2D9BB49}"/>
            </c:ext>
          </c:extLst>
        </c:ser>
        <c:ser>
          <c:idx val="8"/>
          <c:order val="8"/>
          <c:tx>
            <c:strRef>
              <c:f>'Convos chart'!$J$1</c:f>
              <c:strCache>
                <c:ptCount val="1"/>
                <c:pt idx="0">
                  <c:v>Max of Lead 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chart'!$J$2:$J$10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38-4727-8EAA-31A2F2D9B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9790384"/>
        <c:axId val="1079792464"/>
      </c:barChart>
      <c:lineChart>
        <c:grouping val="standard"/>
        <c:varyColors val="0"/>
        <c:ser>
          <c:idx val="0"/>
          <c:order val="0"/>
          <c:tx>
            <c:strRef>
              <c:f>'Convos chart'!$B$1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38-4727-8EAA-31A2F2D9BB49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38-4727-8EAA-31A2F2D9BB49}"/>
              </c:ext>
            </c:extLst>
          </c:dPt>
          <c:dLbls>
            <c:dLbl>
              <c:idx val="1"/>
              <c:layout>
                <c:manualLayout>
                  <c:x val="6.7819181870971655E-17"/>
                  <c:y val="-3.32234025298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38-4727-8EAA-31A2F2D9BB49}"/>
                </c:ext>
              </c:extLst>
            </c:dLbl>
            <c:dLbl>
              <c:idx val="3"/>
              <c:layout>
                <c:manualLayout>
                  <c:x val="0"/>
                  <c:y val="-1.900882552613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38-4727-8EAA-31A2F2D9B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'Convos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'Convos chart'!$B$2:$B$10</c:f>
              <c:numCache>
                <c:formatCode>General</c:formatCode>
                <c:ptCount val="8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94</c:v>
                </c:pt>
                <c:pt idx="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FE-4ACF-8612-34BCF49A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790384"/>
        <c:axId val="1079792464"/>
      </c:lineChart>
      <c:catAx>
        <c:axId val="107979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792464"/>
        <c:crosses val="autoZero"/>
        <c:auto val="1"/>
        <c:lblAlgn val="ctr"/>
        <c:lblOffset val="100"/>
        <c:noMultiLvlLbl val="0"/>
      </c:catAx>
      <c:valAx>
        <c:axId val="107979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790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 and Marketing Scorecard Template.xlsx]Unweighted pipeline chart!PivotTable4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Unweighted sales pipeline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_(&quot;£&quot;* #,##0_);_(&quot;£&quot;* \(#,##0\);_(&quot;£&quot;* &quot;-&quot;_);_(@_)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_(&quot;£&quot;* #,##0_);_(&quot;£&quot;* \(#,##0\);_(&quot;£&quot;* &quot;-&quot;_);_(@_)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prstDash val="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2"/>
            </a:solidFill>
            <a:prstDash val="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/>
            </a:solidFill>
            <a:prstDash val="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2"/>
            </a:solidFill>
            <a:prstDash val="dash"/>
            <a:round/>
          </a:ln>
          <a:effectLst/>
        </c:spPr>
        <c:marker>
          <c:symbol val="none"/>
        </c:marker>
        <c:dLbl>
          <c:idx val="0"/>
          <c:layout>
            <c:manualLayout>
              <c:x val="-0.12199497667743095"/>
              <c:y val="-4.4444444444444522E-2"/>
            </c:manualLayout>
          </c:layout>
          <c:numFmt formatCode="&quot;£&quot;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2"/>
            </a:solidFill>
            <a:prstDash val="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'Unweighted pipeline chart'!$B$1</c:f>
              <c:strCache>
                <c:ptCount val="1"/>
                <c:pt idx="0">
                  <c:v>Max of Unweighted Sales Pipeline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_(&quot;£&quot;* #,##0_);_(&quot;£&quot;* \(#,##0\);_(&quot;£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'Unweighted pipeline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'Unweighted pipeline chart'!$B$2:$B$10</c:f>
              <c:numCache>
                <c:formatCode>General</c:formatCode>
                <c:ptCount val="8"/>
                <c:pt idx="0">
                  <c:v>6453300</c:v>
                </c:pt>
                <c:pt idx="1">
                  <c:v>2781275</c:v>
                </c:pt>
                <c:pt idx="2">
                  <c:v>24312777</c:v>
                </c:pt>
                <c:pt idx="3">
                  <c:v>15944662</c:v>
                </c:pt>
                <c:pt idx="4">
                  <c:v>18838542</c:v>
                </c:pt>
                <c:pt idx="5">
                  <c:v>18667052</c:v>
                </c:pt>
                <c:pt idx="6">
                  <c:v>19233128</c:v>
                </c:pt>
                <c:pt idx="7">
                  <c:v>21395490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4-4BDE-8A2B-9A79C60D0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60576896"/>
        <c:axId val="1860580640"/>
      </c:barChart>
      <c:lineChart>
        <c:grouping val="standard"/>
        <c:varyColors val="0"/>
        <c:ser>
          <c:idx val="1"/>
          <c:order val="1"/>
          <c:tx>
            <c:strRef>
              <c:f>'Unweighted pipeline chart'!$C$1</c:f>
              <c:strCache>
                <c:ptCount val="1"/>
                <c:pt idx="0">
                  <c:v>Max of 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82-45E1-BDB5-E5CE411D1EFF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82-45E1-BDB5-E5CE411D1EFF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82-45E1-BDB5-E5CE411D1EFF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477-483B-9182-D1B4926BFD5F}"/>
              </c:ext>
            </c:extLst>
          </c:dPt>
          <c:dLbls>
            <c:dLbl>
              <c:idx val="0"/>
              <c:layout>
                <c:manualLayout>
                  <c:x val="-0.12199497667743095"/>
                  <c:y val="-4.4444444444444522E-2"/>
                </c:manualLayout>
              </c:layout>
              <c:numFmt formatCode="&quot;£&quot;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82-45E1-BDB5-E5CE411D1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82-45E1-BDB5-E5CE411D1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2-45E1-BDB5-E5CE411D1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77-483B-9182-D1B4926BFD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'Unweighted pipeline chart'!$A$2:$A$10</c:f>
              <c:strCache>
                <c:ptCount val="8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</c:strCache>
            </c:strRef>
          </c:cat>
          <c:val>
            <c:numRef>
              <c:f>'Unweighted pipeline chart'!$C$2:$C$10</c:f>
              <c:numCache>
                <c:formatCode>General</c:formatCode>
                <c:ptCount val="8"/>
                <c:pt idx="0">
                  <c:v>12800000</c:v>
                </c:pt>
                <c:pt idx="1">
                  <c:v>12800000</c:v>
                </c:pt>
                <c:pt idx="2">
                  <c:v>12800000</c:v>
                </c:pt>
                <c:pt idx="3">
                  <c:v>12800000</c:v>
                </c:pt>
                <c:pt idx="4">
                  <c:v>12800000</c:v>
                </c:pt>
                <c:pt idx="5">
                  <c:v>18667052</c:v>
                </c:pt>
                <c:pt idx="6">
                  <c:v>5585597</c:v>
                </c:pt>
                <c:pt idx="7">
                  <c:v>6047645.4202898555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2-45E1-BDB5-E5CE411D1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576896"/>
        <c:axId val="1860580640"/>
      </c:lineChart>
      <c:catAx>
        <c:axId val="186057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580640"/>
        <c:crosses val="autoZero"/>
        <c:auto val="1"/>
        <c:lblAlgn val="ctr"/>
        <c:lblOffset val="100"/>
        <c:noMultiLvlLbl val="0"/>
      </c:catAx>
      <c:valAx>
        <c:axId val="1860580640"/>
        <c:scaling>
          <c:orientation val="minMax"/>
        </c:scaling>
        <c:delete val="0"/>
        <c:axPos val="l"/>
        <c:numFmt formatCode="&quot;£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57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679DA6E-0EDB-4402-B89B-C9AF56E2C0A6}">
  <sheetPr>
    <tabColor theme="4"/>
  </sheetPr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45577" cy="91098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96322D-AC71-FF31-34A1-A1F90CFE3D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11</xdr:row>
      <xdr:rowOff>142875</xdr:rowOff>
    </xdr:from>
    <xdr:to>
      <xdr:col>3</xdr:col>
      <xdr:colOff>409576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51CA6B-0515-A104-E74D-21463583C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245745</xdr:colOff>
      <xdr:row>10</xdr:row>
      <xdr:rowOff>64770</xdr:rowOff>
    </xdr:from>
    <xdr:to>
      <xdr:col>5</xdr:col>
      <xdr:colOff>638175</xdr:colOff>
      <xdr:row>25</xdr:row>
      <xdr:rowOff>64770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BA6E94BC-9A71-E773-EBC1-C88B865F9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0.07658</cdr:x>
      <cdr:y>0.28889</cdr:y>
    </cdr:from>
    <cdr:to>
      <cdr:x>0.98085</cdr:x>
      <cdr:y>0.28889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628E30E-BCB9-49C1-A7EA-2EFE506F32C5}"/>
            </a:ext>
          </a:extLst>
        </cdr:cNvPr>
        <cdr:cNvCxnSpPr/>
      </cdr:nvCxnSpPr>
      <cdr:spPr>
        <a:xfrm xmlns:a="http://schemas.openxmlformats.org/drawingml/2006/main">
          <a:off x="396240" y="792480"/>
          <a:ext cx="467868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B05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0.00147</cdr:x>
      <cdr:y>0.23333</cdr:y>
    </cdr:from>
    <cdr:to>
      <cdr:x>0.08247</cdr:x>
      <cdr:y>0.33889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E1A1BC5-22E5-F793-053F-1A21D6140D9E}"/>
            </a:ext>
          </a:extLst>
        </cdr:cNvPr>
        <cdr:cNvSpPr txBox="1"/>
      </cdr:nvSpPr>
      <cdr:spPr>
        <a:xfrm xmlns:a="http://schemas.openxmlformats.org/drawingml/2006/main">
          <a:off x="7620" y="640080"/>
          <a:ext cx="419100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200" b="1">
              <a:solidFill>
                <a:srgbClr val="00B050"/>
              </a:solidFill>
            </a:rPr>
            <a:t>100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9</xdr:row>
      <xdr:rowOff>125730</xdr:rowOff>
    </xdr:from>
    <xdr:to>
      <xdr:col>5</xdr:col>
      <xdr:colOff>142095</xdr:colOff>
      <xdr:row>24</xdr:row>
      <xdr:rowOff>125730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CBD653A-417A-FCDF-751D-986A47459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0.07512</cdr:x>
      <cdr:y>0.27963</cdr:y>
    </cdr:from>
    <cdr:to>
      <cdr:x>1</cdr:x>
      <cdr:y>0.27963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9DA5DDD-80D5-8AF5-24D3-B1BC033A9945}"/>
            </a:ext>
          </a:extLst>
        </cdr:cNvPr>
        <cdr:cNvCxnSpPr/>
      </cdr:nvCxnSpPr>
      <cdr:spPr>
        <a:xfrm xmlns:a="http://schemas.openxmlformats.org/drawingml/2006/main">
          <a:off x="388620" y="767080"/>
          <a:ext cx="478458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B05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0.22685</cdr:y>
    </cdr:from>
    <cdr:to>
      <cdr:x>0.09167</cdr:x>
      <cdr:y>0.33241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8734C04-3DA3-32B5-B818-385829EC104D}"/>
            </a:ext>
          </a:extLst>
        </cdr:cNvPr>
        <cdr:cNvSpPr txBox="1"/>
      </cdr:nvSpPr>
      <cdr:spPr>
        <a:xfrm xmlns:a="http://schemas.openxmlformats.org/drawingml/2006/main">
          <a:off x="0" y="622300"/>
          <a:ext cx="474210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b="1">
              <a:solidFill>
                <a:srgbClr val="00B050"/>
              </a:solidFill>
            </a:rPr>
            <a:t>20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282276</xdr:colOff>
      <xdr:row>11</xdr:row>
      <xdr:rowOff>33619</xdr:rowOff>
    </xdr:from>
    <xdr:to>
      <xdr:col>5</xdr:col>
      <xdr:colOff>701376</xdr:colOff>
      <xdr:row>35</xdr:row>
      <xdr:rowOff>138394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D872C9-9A33-3D4C-ED04-BE7D8FCD2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10</xdr:row>
      <xdr:rowOff>76200</xdr:rowOff>
    </xdr:from>
    <xdr:to>
      <xdr:col>9</xdr:col>
      <xdr:colOff>66675</xdr:colOff>
      <xdr:row>25</xdr:row>
      <xdr:rowOff>112395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45DB2E11-6BE6-8874-B638-4913AD9C3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s Montero" id="{6570E736-2FD0-4C2E-826B-C8BDDD6282FB}" userId="AndresMontero@capacitas.co.uk" providerId="PeoplePicker"/>
  <person displayName="Danny Quilton" id="{D3DA9E20-8A15-42B2-AFD9-AAB8215DC325}" userId="S::DannyQuilton@capacitas.co.uk::8a8e20bc-1682-4f4e-9b8d-a34779eead0b" providerId="AD"/>
  <person displayName="Danny Quilton" id="{632B6351-5DCC-444B-B815-31EE86F21EFA}" userId="S::dannyquilton@capacitas.co.uk::8a8e20bc-1682-4f4e-9b8d-a34779eead0b" providerId="AD"/>
  <person displayName="Andres Montero" id="{781F3562-15F2-479C-8829-6BE7B7694664}" userId="S::AndresMontero@capacitas.co.uk::3eca756c-efb7-42bf-865a-44ae2000337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Montero" refreshedDate="44896.681217939811" createdVersion="8" refreshedVersion="8" minRefreshableVersion="3" recordCount="9" xr:uid="{49B5E008-7ADE-40C9-9630-C858941BD6A0}">
  <cacheSource type="worksheet">
    <worksheetSource name="Table4"/>
  </cacheSource>
  <cacheFields count="3">
    <cacheField name="Month" numFmtId="0">
      <sharedItems count="9">
        <s v="April"/>
        <s v="May"/>
        <s v="June"/>
        <s v="July"/>
        <s v="August"/>
        <s v="September"/>
        <s v="October"/>
        <s v="November"/>
        <s v="December"/>
      </sharedItems>
    </cacheField>
    <cacheField name="Unweighted Sales Pipeline" numFmtId="164">
      <sharedItems containsSemiMixedTypes="0" containsString="0" containsNumber="1" containsInteger="1" minValue="0" maxValue="24312777"/>
    </cacheField>
    <cacheField name="Target" numFmtId="164">
      <sharedItems containsSemiMixedTypes="0" containsString="0" containsNumber="1" minValue="0" maxValue="186670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Montero" refreshedDate="44896.68121840278" createdVersion="8" refreshedVersion="8" minRefreshableVersion="3" recordCount="12" xr:uid="{3A1D6E09-78D2-4510-82DE-15E6CE63F54A}">
  <cacheSource type="worksheet">
    <worksheetSource name="Table3"/>
  </cacheSource>
  <cacheFields count="11">
    <cacheField name="Source" numFmtId="0">
      <sharedItems count="12">
        <s v="April"/>
        <s v="May"/>
        <s v="June"/>
        <s v="July"/>
        <s v="August"/>
        <s v="September"/>
        <s v="October"/>
        <s v="November"/>
        <s v="December"/>
        <s v="January"/>
        <s v="February"/>
        <s v="March"/>
      </sharedItems>
    </cacheField>
    <cacheField name="Goal" numFmtId="0">
      <sharedItems containsSemiMixedTypes="0" containsString="0" containsNumber="1" containsInteger="1" minValue="57" maxValue="122"/>
    </cacheField>
    <cacheField name="Total" numFmtId="0">
      <sharedItems containsSemiMixedTypes="0" containsString="0" containsNumber="1" containsInteger="1" minValue="0" maxValue="53"/>
    </cacheField>
    <cacheField name="Manzoor Mohammed" numFmtId="0">
      <sharedItems containsString="0" containsBlank="1" containsNumber="1" containsInteger="1" minValue="17" maxValue="23"/>
    </cacheField>
    <cacheField name="Danny Quilton" numFmtId="0">
      <sharedItems containsString="0" containsBlank="1" containsNumber="1" containsInteger="1" minValue="18" maxValue="25"/>
    </cacheField>
    <cacheField name="Neil McMenemy" numFmtId="0">
      <sharedItems containsString="0" containsBlank="1" containsNumber="1" containsInteger="1" minValue="0" maxValue="1"/>
    </cacheField>
    <cacheField name="Thomas Barns" numFmtId="0">
      <sharedItems containsString="0" containsBlank="1" containsNumber="1" containsInteger="1" minValue="1" maxValue="2"/>
    </cacheField>
    <cacheField name="Frank Warren" numFmtId="0">
      <sharedItems containsString="0" containsBlank="1" containsNumber="1" containsInteger="1" minValue="0" maxValue="0"/>
    </cacheField>
    <cacheField name="Gerald Merciera" numFmtId="0">
      <sharedItems containsString="0" containsBlank="1" containsNumber="1" containsInteger="1" minValue="0" maxValue="0"/>
    </cacheField>
    <cacheField name="Leon Levy" numFmtId="0">
      <sharedItems containsString="0" containsBlank="1" containsNumber="1" containsInteger="1" minValue="0" maxValue="4"/>
    </cacheField>
    <cacheField name="Prasham Garg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Montero" refreshedDate="44896.681218865742" createdVersion="8" refreshedVersion="8" minRefreshableVersion="3" recordCount="53" xr:uid="{FD802DEB-BABB-49FD-8000-8BCDF2164F0E}">
  <cacheSource type="worksheet">
    <worksheetSource name="Table2"/>
  </cacheSource>
  <cacheFields count="14">
    <cacheField name="Weeks" numFmtId="14">
      <sharedItems containsSemiMixedTypes="0" containsNonDate="0" containsDate="1" containsString="0" minDate="2022-04-04T00:00:00" maxDate="2023-04-04T00:00:00" count="53">
        <d v="2022-04-04T00:00:00"/>
        <d v="2022-04-11T00:00:00"/>
        <d v="2022-04-18T00:00:00"/>
        <d v="2022-04-25T00:00:00"/>
        <d v="2022-05-02T00:00:00"/>
        <d v="2022-05-09T00:00:00"/>
        <d v="2022-05-16T00:00:00"/>
        <d v="2022-05-23T00:00:00"/>
        <d v="2022-05-30T00:00:00"/>
        <d v="2022-06-06T00:00:00"/>
        <d v="2022-06-13T00:00:00"/>
        <d v="2022-06-20T00:00:00"/>
        <d v="2022-06-27T00:00:00"/>
        <d v="2022-07-04T00:00:00"/>
        <d v="2022-07-11T00:00:00"/>
        <d v="2022-07-18T00:00:00"/>
        <d v="2022-07-25T00:00:00"/>
        <d v="2022-08-01T00:00:00"/>
        <d v="2022-08-08T00:00:00"/>
        <d v="2022-08-15T00:00:00"/>
        <d v="2022-08-22T00:00:00"/>
        <d v="2022-08-29T00:00:00"/>
        <d v="2022-09-05T00:00:00"/>
        <d v="2022-09-12T00:00:00"/>
        <d v="2022-09-19T00:00:00"/>
        <d v="2022-09-26T00:00:00"/>
        <d v="2022-10-03T00:00:00"/>
        <d v="2022-10-10T00:00:00"/>
        <d v="2022-10-17T00:00:00"/>
        <d v="2022-10-24T00:00:00"/>
        <d v="2022-10-31T00:00:00"/>
        <d v="2022-11-07T00:00:00"/>
        <d v="2022-11-14T00:00:00"/>
        <d v="2022-11-21T00:00:00"/>
        <d v="2022-11-28T00:00:00"/>
        <d v="2022-12-05T00:00:00"/>
        <d v="2022-12-12T00:00:00"/>
        <d v="2022-12-19T00:00:00"/>
        <d v="2022-12-26T00:00:00"/>
        <d v="2023-01-02T00:00:00"/>
        <d v="2023-01-09T00:00:00"/>
        <d v="2023-01-16T00:00:00"/>
        <d v="2023-01-23T00:00:00"/>
        <d v="2023-01-30T00:00:00"/>
        <d v="2023-02-06T00:00:00"/>
        <d v="2023-02-13T00:00:00"/>
        <d v="2023-02-20T00:00:00"/>
        <d v="2023-02-27T00:00:00"/>
        <d v="2023-03-06T00:00:00"/>
        <d v="2023-03-13T00:00:00"/>
        <d v="2023-03-20T00:00:00"/>
        <d v="2023-03-27T00:00:00"/>
        <d v="2023-04-03T00:00:00"/>
      </sharedItems>
      <fieldGroup base="0">
        <rangePr groupBy="months" startDate="2022-04-04T00:00:00" endDate="2023-04-04T00:00:00"/>
        <groupItems count="14">
          <s v="&lt;04/04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4/04/2023"/>
        </groupItems>
      </fieldGroup>
    </cacheField>
    <cacheField name="Number of engagements in SM (cummulative across posts)" numFmtId="3">
      <sharedItems containsMixedTypes="1" containsNumber="1" containsInteger="1" minValue="0" maxValue="17428"/>
    </cacheField>
    <cacheField name="Employees engaging with our insights" numFmtId="9">
      <sharedItems containsSemiMixedTypes="0" containsString="0" containsNumber="1" minValue="0" maxValue="0.5"/>
    </cacheField>
    <cacheField name="Number of introductions asked" numFmtId="3">
      <sharedItems containsSemiMixedTypes="0" containsString="0" containsNumber="1" containsInteger="1" minValue="0" maxValue="44"/>
    </cacheField>
    <cacheField name="Number of introductions obtained to influencers and decision-makers in ICP accounts" numFmtId="3">
      <sharedItems containsSemiMixedTypes="0" containsString="0" containsNumber="1" containsInteger="1" minValue="0" maxValue="12"/>
    </cacheField>
    <cacheField name="Number of active conversations" numFmtId="3">
      <sharedItems containsSemiMixedTypes="0" containsString="0" containsNumber="1" containsInteger="1" minValue="0" maxValue="56"/>
    </cacheField>
    <cacheField name="New SQLs (cumulative for FY)" numFmtId="3">
      <sharedItems containsSemiMixedTypes="0" containsString="0" containsNumber="1" containsInteger="1" minValue="0" maxValue="10"/>
    </cacheField>
    <cacheField name="Sales orders won in the current quarter" numFmtId="0">
      <sharedItems containsSemiMixedTypes="0" containsString="0" containsNumber="1" containsInteger="1" minValue="0" maxValue="1610000"/>
    </cacheField>
    <cacheField name="Cumulative Sales orders won in the FYE to-date" numFmtId="0">
      <sharedItems containsSemiMixedTypes="0" containsString="0" containsNumber="1" containsInteger="1" minValue="0" maxValue="4170000"/>
    </cacheField>
    <cacheField name="Largest client sales orders as a % of total sales orders in current FY " numFmtId="0">
      <sharedItems containsMixedTypes="1" containsNumber="1" minValue="0" maxValue="1"/>
    </cacheField>
    <cacheField name="Current Quarter Sales Order Forecast" numFmtId="0">
      <sharedItems containsSemiMixedTypes="0" containsString="0" containsNumber="1" containsInteger="1" minValue="0" maxValue="3157677"/>
    </cacheField>
    <cacheField name="Next Quarter Sales Orders Forecast" numFmtId="0">
      <sharedItems containsSemiMixedTypes="0" containsString="0" containsNumber="1" minValue="0" maxValue="6627839.4500000002"/>
    </cacheField>
    <cacheField name="Invoice forecast for current FY" numFmtId="0">
      <sharedItems containsSemiMixedTypes="0" containsString="0" containsNumber="1" minValue="0" maxValue="6107970"/>
    </cacheField>
    <cacheField name="Total Weighted size of the sales pipeline" numFmtId="0">
      <sharedItems containsSemiMixedTypes="0" containsString="0" containsNumber="1" minValue="0" maxValue="8237839.45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Montero" refreshedDate="44896.681219328704" createdVersion="8" refreshedVersion="8" minRefreshableVersion="3" recordCount="11" xr:uid="{9846B893-BED6-4590-9AF7-C8BADD629662}">
  <cacheSource type="worksheet">
    <worksheetSource name="Table1"/>
  </cacheSource>
  <cacheFields count="2">
    <cacheField name="Month" numFmtId="14">
      <sharedItems count="11">
        <s v="Jan"/>
        <s v="Feb"/>
        <s v="Mar"/>
        <s v="Apr"/>
        <s v="May"/>
        <s v="Jun"/>
        <s v="Jul"/>
        <s v="Aug"/>
        <s v="Sep"/>
        <s v="Oct"/>
        <s v="Nov"/>
      </sharedItems>
    </cacheField>
    <cacheField name="Sales orders won by client directors (not DQ/MM)" numFmtId="164">
      <sharedItems containsSemiMixedTypes="0" containsString="0" containsNumber="1" containsInteger="1" minValue="19700" maxValue="1192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6453300"/>
    <n v="12800000"/>
  </r>
  <r>
    <x v="1"/>
    <n v="2781275"/>
    <n v="12800000"/>
  </r>
  <r>
    <x v="2"/>
    <n v="24312777"/>
    <n v="12800000"/>
  </r>
  <r>
    <x v="3"/>
    <n v="15944662"/>
    <n v="12800000"/>
  </r>
  <r>
    <x v="4"/>
    <n v="18838542"/>
    <n v="12800000"/>
  </r>
  <r>
    <x v="5"/>
    <n v="18667052"/>
    <n v="18667052"/>
  </r>
  <r>
    <x v="6"/>
    <n v="19233128"/>
    <n v="5585597"/>
  </r>
  <r>
    <x v="7"/>
    <n v="21395490"/>
    <n v="6047645.4202898555"/>
  </r>
  <r>
    <x v="8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57"/>
    <n v="38"/>
    <n v="18"/>
    <n v="18"/>
    <n v="1"/>
    <n v="1"/>
    <n v="0"/>
    <n v="0"/>
    <n v="0"/>
    <n v="0"/>
  </r>
  <r>
    <x v="1"/>
    <n v="57"/>
    <n v="39"/>
    <n v="17"/>
    <n v="21"/>
    <n v="0"/>
    <n v="1"/>
    <n v="0"/>
    <n v="0"/>
    <n v="0"/>
    <n v="0"/>
  </r>
  <r>
    <x v="2"/>
    <n v="57"/>
    <n v="46"/>
    <n v="20"/>
    <n v="24"/>
    <n v="0"/>
    <n v="2"/>
    <n v="0"/>
    <n v="0"/>
    <n v="0"/>
    <n v="0"/>
  </r>
  <r>
    <x v="3"/>
    <n v="73"/>
    <n v="46"/>
    <n v="21"/>
    <n v="23"/>
    <n v="0"/>
    <n v="1"/>
    <n v="0"/>
    <n v="0"/>
    <n v="1"/>
    <n v="0"/>
  </r>
  <r>
    <x v="4"/>
    <n v="73"/>
    <n v="50"/>
    <n v="21"/>
    <n v="24"/>
    <n v="0"/>
    <n v="1"/>
    <n v="0"/>
    <n v="0"/>
    <n v="4"/>
    <n v="0"/>
  </r>
  <r>
    <x v="5"/>
    <n v="73"/>
    <n v="53"/>
    <n v="23"/>
    <n v="25"/>
    <n v="0"/>
    <n v="1"/>
    <n v="0"/>
    <n v="0"/>
    <n v="4"/>
    <n v="0"/>
  </r>
  <r>
    <x v="6"/>
    <n v="94"/>
    <n v="53"/>
    <n v="23"/>
    <n v="25"/>
    <n v="0"/>
    <n v="1"/>
    <n v="0"/>
    <n v="0"/>
    <n v="4"/>
    <n v="0"/>
  </r>
  <r>
    <x v="7"/>
    <n v="94"/>
    <n v="51"/>
    <n v="22"/>
    <n v="24"/>
    <n v="0"/>
    <n v="1"/>
    <n v="0"/>
    <n v="0"/>
    <n v="4"/>
    <n v="0"/>
  </r>
  <r>
    <x v="8"/>
    <n v="94"/>
    <n v="0"/>
    <m/>
    <m/>
    <m/>
    <m/>
    <m/>
    <m/>
    <m/>
    <m/>
  </r>
  <r>
    <x v="9"/>
    <n v="122"/>
    <n v="0"/>
    <m/>
    <m/>
    <m/>
    <m/>
    <m/>
    <m/>
    <m/>
    <m/>
  </r>
  <r>
    <x v="10"/>
    <n v="122"/>
    <n v="0"/>
    <m/>
    <m/>
    <m/>
    <m/>
    <m/>
    <m/>
    <m/>
    <m/>
  </r>
  <r>
    <x v="11"/>
    <n v="122"/>
    <n v="0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n v="3192"/>
    <n v="0.47"/>
    <n v="4"/>
    <n v="0"/>
    <n v="38"/>
    <n v="0"/>
    <n v="24800"/>
    <n v="24800"/>
    <n v="0.25"/>
    <n v="1308785"/>
    <n v="56700"/>
    <n v="0"/>
    <n v="1365485"/>
  </r>
  <r>
    <x v="1"/>
    <n v="753"/>
    <n v="0.18"/>
    <n v="7"/>
    <n v="0"/>
    <n v="38"/>
    <n v="0"/>
    <n v="24800"/>
    <n v="24800"/>
    <n v="1"/>
    <n v="1308785"/>
    <n v="56700"/>
    <n v="0"/>
    <n v="1365485"/>
  </r>
  <r>
    <x v="2"/>
    <n v="1292"/>
    <n v="0.34"/>
    <n v="7"/>
    <n v="0"/>
    <n v="38"/>
    <n v="0"/>
    <n v="174800"/>
    <n v="174800"/>
    <s v="-"/>
    <n v="1443225"/>
    <n v="56700"/>
    <n v="2226827"/>
    <n v="1325125"/>
  </r>
  <r>
    <x v="3"/>
    <n v="1429"/>
    <n v="0.38"/>
    <n v="10"/>
    <n v="1"/>
    <n v="41"/>
    <n v="0"/>
    <n v="209700"/>
    <n v="209700"/>
    <n v="0.72"/>
    <n v="1518890"/>
    <n v="249200"/>
    <n v="2235296"/>
    <n v="1558390"/>
  </r>
  <r>
    <x v="4"/>
    <n v="2132"/>
    <n v="0.33"/>
    <n v="11"/>
    <n v="2"/>
    <n v="40"/>
    <n v="0"/>
    <n v="331300"/>
    <n v="331300"/>
    <n v="0.45"/>
    <n v="1551165"/>
    <n v="467950"/>
    <n v="2524896.2000000002"/>
    <n v="1687815"/>
  </r>
  <r>
    <x v="5"/>
    <n v="1635"/>
    <n v="0.22"/>
    <n v="13"/>
    <n v="3"/>
    <n v="42"/>
    <n v="0"/>
    <n v="351300"/>
    <n v="351300"/>
    <n v="0.42"/>
    <n v="1608545"/>
    <n v="498120"/>
    <n v="2452896"/>
    <n v="1755365"/>
  </r>
  <r>
    <x v="6"/>
    <n v="1703"/>
    <n v="0.17"/>
    <n v="17"/>
    <n v="4"/>
    <n v="44"/>
    <n v="0"/>
    <n v="362100"/>
    <n v="362100"/>
    <n v="0.41"/>
    <n v="2138483"/>
    <n v="555620"/>
    <n v="3088896"/>
    <n v="2332000"/>
  </r>
  <r>
    <x v="7"/>
    <n v="2560"/>
    <n v="0.22"/>
    <n v="22"/>
    <n v="4"/>
    <n v="44"/>
    <n v="0"/>
    <n v="362100"/>
    <n v="362100"/>
    <n v="0.41"/>
    <n v="2178378"/>
    <n v="696915"/>
    <n v="3582996"/>
    <n v="2513194"/>
  </r>
  <r>
    <x v="8"/>
    <n v="620"/>
    <n v="0.16"/>
    <n v="22"/>
    <n v="4"/>
    <n v="44"/>
    <n v="2"/>
    <n v="1230000"/>
    <n v="1230000"/>
    <n v="0.7"/>
    <n v="1634878"/>
    <n v="1415575"/>
    <n v="3220896"/>
    <n v="3050453"/>
  </r>
  <r>
    <x v="9"/>
    <n v="2238"/>
    <n v="0.26"/>
    <n v="23"/>
    <n v="4"/>
    <n v="43"/>
    <n v="2"/>
    <n v="1430000"/>
    <n v="1143000"/>
    <n v="0.6"/>
    <n v="1965773"/>
    <n v="1444485"/>
    <n v="3446896"/>
    <n v="3410258"/>
  </r>
  <r>
    <x v="10"/>
    <n v="2636"/>
    <n v="0.23"/>
    <n v="26"/>
    <n v="4"/>
    <n v="45"/>
    <n v="2"/>
    <n v="1490000"/>
    <n v="1490000"/>
    <n v="0.56999999999999995"/>
    <n v="1802398"/>
    <n v="1665345"/>
    <n v="3445536"/>
    <n v="3467743"/>
  </r>
  <r>
    <x v="11"/>
    <n v="2730"/>
    <n v="0.22"/>
    <n v="26"/>
    <n v="4"/>
    <n v="46"/>
    <n v="2"/>
    <n v="1600000"/>
    <n v="1600000"/>
    <n v="0.53"/>
    <n v="1600000"/>
    <n v="5718889"/>
    <n v="3910001"/>
    <n v="7318889"/>
  </r>
  <r>
    <x v="12"/>
    <n v="5350"/>
    <n v="0.37"/>
    <n v="26"/>
    <n v="4"/>
    <n v="48"/>
    <n v="4"/>
    <n v="1610000"/>
    <n v="1610000"/>
    <n v="0.54"/>
    <n v="1610000"/>
    <n v="6627839.4500000002"/>
    <n v="3958912.8666666672"/>
    <n v="8237839.4500000002"/>
  </r>
  <r>
    <x v="13"/>
    <n v="1809"/>
    <n v="0.41"/>
    <n v="27"/>
    <n v="4"/>
    <n v="45"/>
    <n v="4"/>
    <n v="0"/>
    <n v="1610000"/>
    <n v="0.53"/>
    <n v="1820020"/>
    <n v="26250"/>
    <n v="3984910"/>
    <n v="1846270"/>
  </r>
  <r>
    <x v="14"/>
    <n v="1356"/>
    <n v="0.5"/>
    <n v="34"/>
    <n v="7"/>
    <n v="47"/>
    <n v="4"/>
    <n v="1158629"/>
    <n v="1184879"/>
    <n v="0.48"/>
    <n v="1331029"/>
    <n v="26250"/>
    <n v="4295080"/>
    <n v="1357279"/>
  </r>
  <r>
    <x v="15"/>
    <n v="751"/>
    <n v="0.2"/>
    <n v="34"/>
    <n v="7"/>
    <n v="48"/>
    <n v="5"/>
    <n v="172400"/>
    <n v="1790000"/>
    <n v="0.48"/>
    <n v="1451304"/>
    <n v="26250"/>
    <n v="4473476"/>
    <n v="1477554"/>
  </r>
  <r>
    <x v="16"/>
    <n v="1034"/>
    <n v="0.2"/>
    <n v="35"/>
    <n v="8"/>
    <n v="48"/>
    <n v="6"/>
    <n v="223400"/>
    <n v="1840000"/>
    <n v="0.47"/>
    <n v="1630720"/>
    <n v="26250"/>
    <n v="4693076"/>
    <n v="1656970"/>
  </r>
  <r>
    <x v="17"/>
    <n v="2068"/>
    <n v="0.23"/>
    <n v="35"/>
    <n v="8"/>
    <n v="48"/>
    <n v="7"/>
    <n v="223400"/>
    <n v="1840000"/>
    <n v="0.47"/>
    <n v="1385390"/>
    <n v="26250"/>
    <n v="4710976"/>
    <n v="1411640"/>
  </r>
  <r>
    <x v="18"/>
    <n v="1924"/>
    <n v="0.11"/>
    <n v="37"/>
    <n v="9"/>
    <n v="50"/>
    <n v="7"/>
    <n v="489400"/>
    <n v="2100000"/>
    <n v="0.41"/>
    <n v="1879386"/>
    <n v="31500"/>
    <n v="4710975.6761904759"/>
    <n v="1910886"/>
  </r>
  <r>
    <x v="19"/>
    <n v="1735"/>
    <n v="0.22"/>
    <n v="37"/>
    <n v="9"/>
    <n v="50"/>
    <n v="7"/>
    <n v="519870"/>
    <n v="2130000"/>
    <n v="0.4"/>
    <n v="2022211"/>
    <n v="61250"/>
    <n v="4721190"/>
    <n v="2083461"/>
  </r>
  <r>
    <x v="20"/>
    <n v="3239"/>
    <n v="0.2"/>
    <n v="37"/>
    <n v="9"/>
    <n v="50"/>
    <n v="7"/>
    <n v="0"/>
    <n v="0"/>
    <n v="0"/>
    <n v="1141256"/>
    <n v="512400"/>
    <n v="5125690"/>
    <n v="1653656"/>
  </r>
  <r>
    <x v="21"/>
    <n v="1058"/>
    <n v="0.24"/>
    <n v="39"/>
    <n v="10"/>
    <n v="50"/>
    <n v="7"/>
    <n v="0"/>
    <n v="0"/>
    <n v="0"/>
    <n v="1159608"/>
    <n v="657825"/>
    <n v="5137440"/>
    <n v="1817433"/>
  </r>
  <r>
    <x v="22"/>
    <n v="2332"/>
    <n v="0.28999999999999998"/>
    <n v="39"/>
    <n v="10"/>
    <n v="51"/>
    <n v="7"/>
    <n v="570370"/>
    <n v="2210000"/>
    <n v="0.39"/>
    <n v="1534991"/>
    <n v="863600"/>
    <n v="5137440"/>
    <n v="2398591"/>
  </r>
  <r>
    <x v="23"/>
    <n v="4991"/>
    <n v="0.28999999999999998"/>
    <n v="39"/>
    <n v="10"/>
    <n v="52"/>
    <n v="8"/>
    <n v="582620"/>
    <n v="2220000"/>
    <n v="0.38"/>
    <n v="1457401"/>
    <n v="1097612"/>
    <n v="5417222"/>
    <n v="2555013"/>
  </r>
  <r>
    <x v="24"/>
    <n v="2044"/>
    <n v="0.18"/>
    <n v="39"/>
    <n v="10"/>
    <n v="52"/>
    <n v="8"/>
    <n v="862120"/>
    <n v="2500000"/>
    <n v="0.38"/>
    <n v="1546680"/>
    <n v="1395112"/>
    <n v="5400222"/>
    <n v="2941792"/>
  </r>
  <r>
    <x v="25"/>
    <n v="4967"/>
    <n v="0.26"/>
    <n v="39"/>
    <n v="10"/>
    <n v="53"/>
    <n v="8"/>
    <n v="1489967"/>
    <n v="3130000"/>
    <n v="0.35"/>
    <n v="1489967"/>
    <n v="0"/>
    <n v="5385036"/>
    <n v="1489967"/>
  </r>
  <r>
    <x v="26"/>
    <n v="4380"/>
    <n v="0.26"/>
    <n v="40"/>
    <n v="10"/>
    <n v="55"/>
    <n v="9"/>
    <n v="240600"/>
    <n v="3370000"/>
    <n v="0.4"/>
    <n v="3157677"/>
    <n v="0"/>
    <n v="5384836"/>
    <n v="3157677"/>
  </r>
  <r>
    <x v="27"/>
    <n v="17428"/>
    <n v="0.23"/>
    <n v="41"/>
    <n v="10"/>
    <n v="56"/>
    <n v="9"/>
    <n v="267600"/>
    <n v="3400000"/>
    <n v="0.5"/>
    <n v="3058123"/>
    <n v="98000"/>
    <n v="5265485"/>
    <n v="3156123"/>
  </r>
  <r>
    <x v="28"/>
    <n v="6435"/>
    <n v="0.2"/>
    <n v="41"/>
    <n v="10"/>
    <n v="55"/>
    <n v="9"/>
    <n v="267600"/>
    <n v="3400000"/>
    <n v="0.4"/>
    <n v="2997000"/>
    <n v="133295"/>
    <n v="5279547"/>
    <n v="3130295"/>
  </r>
  <r>
    <x v="29"/>
    <e v="#REF!"/>
    <n v="0.4"/>
    <n v="41"/>
    <n v="10"/>
    <n v="54"/>
    <n v="9"/>
    <n v="369620"/>
    <n v="3500000"/>
    <n v="0.4"/>
    <n v="2256674"/>
    <n v="142045"/>
    <n v="5585597"/>
    <n v="2398719"/>
  </r>
  <r>
    <x v="30"/>
    <n v="1940"/>
    <n v="0.16"/>
    <n v="41"/>
    <n v="10"/>
    <n v="54"/>
    <n v="9"/>
    <n v="394620"/>
    <n v="3520000"/>
    <n v="0.4"/>
    <n v="2322204"/>
    <n v="142045"/>
    <n v="5585597"/>
    <n v="2464249"/>
  </r>
  <r>
    <x v="31"/>
    <n v="8629"/>
    <n v="0.16"/>
    <n v="41"/>
    <n v="10"/>
    <n v="54"/>
    <n v="10"/>
    <n v="503870"/>
    <n v="3630000"/>
    <n v="0.38"/>
    <n v="2334150"/>
    <n v="217295"/>
    <n v="6107970"/>
    <n v="2551445"/>
  </r>
  <r>
    <x v="32"/>
    <n v="8230"/>
    <n v="0.36"/>
    <n v="41"/>
    <n v="10"/>
    <n v="54"/>
    <n v="10"/>
    <n v="537870"/>
    <n v="3670000"/>
    <n v="0.39"/>
    <n v="2480658"/>
    <n v="420685"/>
    <n v="6042309"/>
    <n v="2901343"/>
  </r>
  <r>
    <x v="33"/>
    <n v="6518"/>
    <n v="0.23"/>
    <n v="44"/>
    <n v="12"/>
    <n v="54"/>
    <n v="9"/>
    <n v="719840"/>
    <n v="3790000"/>
    <n v="0.39"/>
    <n v="1622740"/>
    <n v="1272735"/>
    <n v="6042309"/>
    <n v="2895475"/>
  </r>
  <r>
    <x v="34"/>
    <n v="0"/>
    <n v="0"/>
    <n v="44"/>
    <n v="12"/>
    <n v="53"/>
    <n v="9"/>
    <n v="1100000"/>
    <n v="4170000"/>
    <n v="0.36"/>
    <n v="1878700"/>
    <n v="1482735"/>
    <n v="6047645.4202898555"/>
    <n v="3361435"/>
  </r>
  <r>
    <x v="35"/>
    <n v="0"/>
    <n v="0"/>
    <n v="0"/>
    <n v="0"/>
    <n v="0"/>
    <n v="0"/>
    <n v="0"/>
    <n v="0"/>
    <n v="0"/>
    <n v="0"/>
    <n v="0"/>
    <n v="0"/>
    <n v="0"/>
  </r>
  <r>
    <x v="36"/>
    <n v="0"/>
    <n v="0"/>
    <n v="0"/>
    <n v="0"/>
    <n v="0"/>
    <n v="0"/>
    <n v="0"/>
    <n v="0"/>
    <n v="0"/>
    <n v="0"/>
    <n v="0"/>
    <n v="0"/>
    <n v="0"/>
  </r>
  <r>
    <x v="37"/>
    <n v="0"/>
    <n v="0"/>
    <n v="0"/>
    <n v="0"/>
    <n v="0"/>
    <n v="0"/>
    <n v="0"/>
    <n v="0"/>
    <n v="0"/>
    <n v="0"/>
    <n v="0"/>
    <n v="0"/>
    <n v="0"/>
  </r>
  <r>
    <x v="38"/>
    <n v="0"/>
    <n v="0"/>
    <n v="0"/>
    <n v="0"/>
    <n v="0"/>
    <n v="0"/>
    <n v="0"/>
    <n v="0"/>
    <n v="0"/>
    <n v="0"/>
    <n v="0"/>
    <n v="0"/>
    <n v="0"/>
  </r>
  <r>
    <x v="39"/>
    <n v="0"/>
    <n v="0"/>
    <n v="0"/>
    <n v="0"/>
    <n v="0"/>
    <n v="0"/>
    <n v="0"/>
    <n v="0"/>
    <n v="0"/>
    <n v="0"/>
    <n v="0"/>
    <n v="0"/>
    <n v="0"/>
  </r>
  <r>
    <x v="40"/>
    <n v="0"/>
    <n v="0"/>
    <n v="0"/>
    <n v="0"/>
    <n v="0"/>
    <n v="0"/>
    <n v="0"/>
    <n v="0"/>
    <n v="0"/>
    <n v="0"/>
    <n v="0"/>
    <n v="0"/>
    <n v="0"/>
  </r>
  <r>
    <x v="41"/>
    <n v="0"/>
    <n v="0"/>
    <n v="0"/>
    <n v="0"/>
    <n v="0"/>
    <n v="0"/>
    <n v="0"/>
    <n v="0"/>
    <n v="0"/>
    <n v="0"/>
    <n v="0"/>
    <n v="0"/>
    <n v="0"/>
  </r>
  <r>
    <x v="42"/>
    <n v="0"/>
    <n v="0"/>
    <n v="0"/>
    <n v="0"/>
    <n v="0"/>
    <n v="0"/>
    <n v="0"/>
    <n v="0"/>
    <n v="0"/>
    <n v="0"/>
    <n v="0"/>
    <n v="0"/>
    <n v="0"/>
  </r>
  <r>
    <x v="43"/>
    <n v="0"/>
    <n v="0"/>
    <n v="0"/>
    <n v="0"/>
    <n v="0"/>
    <n v="0"/>
    <n v="0"/>
    <n v="0"/>
    <n v="0"/>
    <n v="0"/>
    <n v="0"/>
    <n v="0"/>
    <n v="0"/>
  </r>
  <r>
    <x v="44"/>
    <n v="0"/>
    <n v="0"/>
    <n v="0"/>
    <n v="0"/>
    <n v="0"/>
    <n v="0"/>
    <n v="0"/>
    <n v="0"/>
    <n v="0"/>
    <n v="0"/>
    <n v="0"/>
    <n v="0"/>
    <n v="0"/>
  </r>
  <r>
    <x v="45"/>
    <n v="0"/>
    <n v="0"/>
    <n v="0"/>
    <n v="0"/>
    <n v="0"/>
    <n v="0"/>
    <n v="0"/>
    <n v="0"/>
    <n v="0"/>
    <n v="0"/>
    <n v="0"/>
    <n v="0"/>
    <n v="0"/>
  </r>
  <r>
    <x v="46"/>
    <n v="0"/>
    <n v="0"/>
    <n v="0"/>
    <n v="0"/>
    <n v="0"/>
    <n v="0"/>
    <n v="0"/>
    <n v="0"/>
    <n v="0"/>
    <n v="0"/>
    <n v="0"/>
    <n v="0"/>
    <n v="0"/>
  </r>
  <r>
    <x v="47"/>
    <n v="0"/>
    <n v="0"/>
    <n v="0"/>
    <n v="0"/>
    <n v="0"/>
    <n v="0"/>
    <n v="0"/>
    <n v="0"/>
    <n v="0"/>
    <n v="0"/>
    <n v="0"/>
    <n v="0"/>
    <n v="0"/>
  </r>
  <r>
    <x v="48"/>
    <n v="0"/>
    <n v="0"/>
    <n v="0"/>
    <n v="0"/>
    <n v="0"/>
    <n v="0"/>
    <n v="0"/>
    <n v="0"/>
    <n v="0"/>
    <n v="0"/>
    <n v="0"/>
    <n v="0"/>
    <n v="0"/>
  </r>
  <r>
    <x v="49"/>
    <n v="0"/>
    <n v="0"/>
    <n v="0"/>
    <n v="0"/>
    <n v="0"/>
    <n v="0"/>
    <n v="0"/>
    <n v="0"/>
    <n v="0"/>
    <n v="0"/>
    <n v="0"/>
    <n v="0"/>
    <n v="0"/>
  </r>
  <r>
    <x v="50"/>
    <n v="0"/>
    <n v="0"/>
    <n v="0"/>
    <n v="0"/>
    <n v="0"/>
    <n v="0"/>
    <n v="0"/>
    <n v="0"/>
    <n v="0"/>
    <n v="0"/>
    <n v="0"/>
    <n v="0"/>
    <n v="0"/>
  </r>
  <r>
    <x v="51"/>
    <n v="0"/>
    <n v="0"/>
    <n v="0"/>
    <n v="0"/>
    <n v="0"/>
    <n v="0"/>
    <n v="0"/>
    <n v="0"/>
    <n v="0"/>
    <n v="0"/>
    <n v="0"/>
    <n v="0"/>
    <n v="0"/>
  </r>
  <r>
    <x v="52"/>
    <n v="0"/>
    <n v="0"/>
    <n v="0"/>
    <n v="0"/>
    <n v="0"/>
    <n v="0"/>
    <n v="0"/>
    <n v="0"/>
    <n v="0"/>
    <n v="0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19700"/>
  </r>
  <r>
    <x v="1"/>
    <n v="1192900"/>
  </r>
  <r>
    <x v="2"/>
    <n v="634000"/>
  </r>
  <r>
    <x v="3"/>
    <n v="24800"/>
  </r>
  <r>
    <x v="4"/>
    <n v="980010"/>
  </r>
  <r>
    <x v="5"/>
    <n v="169900"/>
  </r>
  <r>
    <x v="6"/>
    <n v="223369"/>
  </r>
  <r>
    <x v="7"/>
    <n v="22000"/>
  </r>
  <r>
    <x v="8"/>
    <n v="729596"/>
  </r>
  <r>
    <x v="9"/>
    <n v="394619"/>
  </r>
  <r>
    <x v="10"/>
    <n v="541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871C06-DFDD-4E70-8992-538F1760220C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0" firstHeaderRow="1" firstDataRow="1" firstDataCol="1"/>
  <pivotFields count="2">
    <pivotField axis="axisRow" showAll="0" sortType="descending">
      <items count="12">
        <item x="10"/>
        <item x="9"/>
        <item x="8"/>
        <item x="7"/>
        <item x="6"/>
        <item x="5"/>
        <item x="4"/>
        <item x="3"/>
        <item h="1" x="2"/>
        <item h="1" x="1"/>
        <item h="1" x="0"/>
        <item t="default"/>
      </items>
    </pivotField>
    <pivotField dataField="1" numFmtId="164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Sales orders won by client directors (not founders)" fld="1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DC2AA5-9FC2-46DB-9BCD-44843A7E8433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8">
  <location ref="A1:C10" firstHeaderRow="0" firstDataRow="1" firstDataCol="1"/>
  <pivotFields count="14">
    <pivotField axis="axisRow" numFmtId="14" showAll="0" measure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9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Intros obtained" fld="4" subtotal="max" baseField="0" baseItem="4"/>
    <dataField name="Intros asked for" fld="3" subtotal="max" baseField="0" baseItem="4"/>
  </dataFields>
  <chartFormats count="18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BE40C3-2A18-4347-98DA-94DA5C2BE750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1">
  <location ref="A1:B9" firstHeaderRow="1" firstDataRow="1" firstDataCol="1"/>
  <pivotFields count="14">
    <pivotField axis="axisRow" numFmtId="14" showAll="0" measure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8"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Max of New SQLs (cumulative for FY)" fld="6" subtotal="max" baseField="0" baseItem="1"/>
  </dataFields>
  <chartFormats count="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5E7AD3-6D0B-463A-B195-D48341D1A3E5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>
  <location ref="A1:J10" firstHeaderRow="0" firstDataRow="1" firstDataCol="1"/>
  <pivotFields count="11">
    <pivotField axis="axisRow" showAll="0">
      <items count="13">
        <item h="1" x="9"/>
        <item h="1" x="10"/>
        <item h="1" x="11"/>
        <item x="0"/>
        <item x="1"/>
        <item x="2"/>
        <item x="3"/>
        <item x="4"/>
        <item x="5"/>
        <item x="6"/>
        <item x="7"/>
        <item h="1" x="8"/>
        <item t="default"/>
      </items>
    </pivotField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Target" fld="1" subtotal="max" baseField="0" baseItem="4"/>
    <dataField name="Max of Lead 1" fld="3" subtotal="max" baseField="0" baseItem="4"/>
    <dataField name="Max of Lead 2" fld="4" subtotal="max" baseField="0" baseItem="4"/>
    <dataField name="Max of Lead 3" fld="5" subtotal="max" baseField="0" baseItem="0"/>
    <dataField name="Max of Lead 4" fld="6" subtotal="max" baseField="0" baseItem="0"/>
    <dataField name="Max of Lead 5" fld="7" subtotal="max" baseField="0" baseItem="0"/>
    <dataField name="Max of Lead 6" fld="8" subtotal="max" baseField="0" baseItem="0"/>
    <dataField name="Max of Lead 7" fld="9" subtotal="max" baseField="0" baseItem="0"/>
    <dataField name="Max of Lead 8" fld="10" subtotal="max" baseField="0" baseItem="0"/>
  </dataFields>
  <chartFormats count="99">
    <chartFormat chart="0" format="2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2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27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28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29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30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3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8" format="3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8" format="37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8" format="38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8" format="39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8" format="40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8" format="41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8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9" format="4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4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4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9" format="4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9" format="49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9" format="50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9" format="51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9" format="52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9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9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0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0" format="3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0" format="37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0" format="38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0" format="39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0" format="40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0" format="41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0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0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1" format="4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4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4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1" format="4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1" format="49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1" format="50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1" format="51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1" format="52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1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1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2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2" format="3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2" format="37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2" format="38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2" format="39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2" format="40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2" format="41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2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2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3" format="4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4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3" format="4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3" format="4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3" format="49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3" format="50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3" format="51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3" format="52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3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3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4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4" format="3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4" format="37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4" format="38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4" format="39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4" format="40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4" format="41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4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4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5" format="4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4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5" format="4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5" format="4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5" format="49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5" format="50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5" format="51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5" format="52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5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5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D02E60-29BC-4AC6-B70A-A6B7E67256CB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9">
  <location ref="A1:C10" firstHeaderRow="0" firstDataRow="1" firstDataCol="1"/>
  <pivotFields count="3">
    <pivotField axis="axisRow" showAll="0" measure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164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Max of Unweighted Sales Pipeline" fld="1" subtotal="max" baseField="0" baseItem="0"/>
    <dataField name="Max of Target" fld="2" subtotal="max" baseField="0" baseItem="1"/>
  </dataFields>
  <chartFormats count="5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4" format="16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4" format="17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4" format="18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6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9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7" format="10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7" format="1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7" format="12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8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8" format="16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8" format="17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8" format="18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BC271D-7B60-4027-BCF4-9ABEFEF0ABC4}" name="Table2" displayName="Table2" ref="A1:N54" totalsRowShown="0">
  <autoFilter ref="A1:N54" xr:uid="{2EBC271D-7B60-4027-BCF4-9ABEFEF0ABC4}"/>
  <tableColumns count="14">
    <tableColumn id="1" xr3:uid="{FF4CC897-49A1-4DF9-9D15-D9A51CB3F17F}" name="Weeks" dataDxfId="51">
      <calculatedColumnFormula>'Weekly Scorecard'!C5</calculatedColumnFormula>
    </tableColumn>
    <tableColumn id="2" xr3:uid="{23F93297-C2AF-494A-B661-3D3E060A49D9}" name="Number of engagements in SM (cummulative across posts)" dataDxfId="50">
      <calculatedColumnFormula>'Weekly Scorecard'!D5</calculatedColumnFormula>
    </tableColumn>
    <tableColumn id="3" xr3:uid="{5788F8FC-EB2C-44DB-AED5-FD58A90163FD}" name="Employees engaging with our insights">
      <calculatedColumnFormula>'Weekly Scorecard'!E5</calculatedColumnFormula>
    </tableColumn>
    <tableColumn id="4" xr3:uid="{F32ED563-FBCE-4397-97A9-7C2F3FF2B1EE}" name="Number of introductions asked" dataDxfId="49">
      <calculatedColumnFormula>'Weekly Scorecard'!F5</calculatedColumnFormula>
    </tableColumn>
    <tableColumn id="5" xr3:uid="{681BB9A4-9E65-41F6-A8A2-D0569F5971F8}" name="Number of introductions obtained to influencers and decision-makers in ICP accounts" dataDxfId="48">
      <calculatedColumnFormula>'Weekly Scorecard'!G5</calculatedColumnFormula>
    </tableColumn>
    <tableColumn id="6" xr3:uid="{B029F1DA-9D20-4C70-9EB6-92461CED56D5}" name="Number of active conversations" dataDxfId="47">
      <calculatedColumnFormula>'Weekly Scorecard'!H5</calculatedColumnFormula>
    </tableColumn>
    <tableColumn id="7" xr3:uid="{A442CCC6-F6E2-4830-AE9C-1E3CB94BD3B5}" name="New SQLs (cumulative for FY)" dataDxfId="46">
      <calculatedColumnFormula>'Weekly Scorecard'!I5</calculatedColumnFormula>
    </tableColumn>
    <tableColumn id="8" xr3:uid="{48257573-4C2D-4782-AA01-6B928BB90F41}" name="Sales orders won in the current quarter" dataDxfId="45">
      <calculatedColumnFormula>'Weekly Scorecard'!J5</calculatedColumnFormula>
    </tableColumn>
    <tableColumn id="9" xr3:uid="{14A90AB0-5C63-4EB0-A8AA-0A2E35E091B1}" name="Cumulative Sales orders won in the FYE to-date" dataDxfId="44">
      <calculatedColumnFormula>'Weekly Scorecard'!K5</calculatedColumnFormula>
    </tableColumn>
    <tableColumn id="10" xr3:uid="{9C5584DC-7C37-4CD2-9CB5-1559EA54279D}" name="Largest client sales orders as a % of total sales orders in current FY " dataDxfId="43">
      <calculatedColumnFormula>'Weekly Scorecard'!L5</calculatedColumnFormula>
    </tableColumn>
    <tableColumn id="11" xr3:uid="{F318136C-97E3-4A26-8600-9171BA522F73}" name="Current Quarter Sales Order Forecast" dataDxfId="42">
      <calculatedColumnFormula>'Weekly Scorecard'!M5</calculatedColumnFormula>
    </tableColumn>
    <tableColumn id="12" xr3:uid="{CD158B7D-5778-4D12-BEB6-4BA533A4EF87}" name="Next Quarter Sales Orders Forecast" dataDxfId="41">
      <calculatedColumnFormula>'Weekly Scorecard'!N5</calculatedColumnFormula>
    </tableColumn>
    <tableColumn id="13" xr3:uid="{31E47EC5-89BC-4821-A584-8204221397CD}" name="Invoice forecast for current FY" dataDxfId="40">
      <calculatedColumnFormula>'Weekly Scorecard'!O5</calculatedColumnFormula>
    </tableColumn>
    <tableColumn id="14" xr3:uid="{189E30B3-C3C9-4DA8-A68E-ED6852D17D12}" name="Total Weighted size of the sales pipeline" dataDxfId="39">
      <calculatedColumnFormula>'Weekly Scorecard'!P5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E8B757-A4F4-48BB-9C22-309B9073E7F8}" name="Table3" displayName="Table3" ref="A1:K13" totalsRowShown="0" headerRowDxfId="38" dataDxfId="37">
  <autoFilter ref="A1:K13" xr:uid="{13E8B757-A4F4-48BB-9C22-309B9073E7F8}"/>
  <tableColumns count="11">
    <tableColumn id="1" xr3:uid="{7CF1817F-CBE3-42DD-84E7-8A744BAAA25B}" name="Source" dataDxfId="36"/>
    <tableColumn id="2" xr3:uid="{CC226CC3-14BE-4159-A0DF-B956A42A721E}" name="Goal" dataDxfId="35"/>
    <tableColumn id="11" xr3:uid="{7E6B32E7-978C-49E5-A77C-1D6EEA7A809A}" name="Total" dataDxfId="34">
      <calculatedColumnFormula>SUM(Table3[[#This Row],[Partner1]:[Partner8]])</calculatedColumnFormula>
    </tableColumn>
    <tableColumn id="3" xr3:uid="{241BB13D-4AEB-43A0-AAC5-2FFB7D0EF99D}" name="Partner1" dataDxfId="33"/>
    <tableColumn id="4" xr3:uid="{4F63E356-DD4C-487E-BB03-56B7FA881E2A}" name="Partner2" dataDxfId="32"/>
    <tableColumn id="5" xr3:uid="{81B1B8AD-C144-42A2-A47E-C40270AD0D84}" name="Partner3" dataDxfId="31"/>
    <tableColumn id="6" xr3:uid="{629C5D28-C3E2-4B98-8C61-054E4852FB25}" name="Partner4" dataDxfId="30"/>
    <tableColumn id="7" xr3:uid="{3B4F6103-4286-4002-8042-D9904020C22F}" name="Partner5" dataDxfId="29"/>
    <tableColumn id="8" xr3:uid="{095FC87D-83DE-4200-B1CE-EDA3B34F4CAE}" name="Partner6" dataDxfId="28"/>
    <tableColumn id="9" xr3:uid="{E873738E-1067-4FCD-93CE-CB8777D1807B}" name="Partner7" dataDxfId="27"/>
    <tableColumn id="10" xr3:uid="{8504906D-5D0B-466B-9C3B-B0CC23CCDF26}" name="Partner8" dataDxfId="26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5442B7-F823-4940-9742-719321F2E289}" name="Table1" displayName="Table1" ref="A1:B12" totalsRowShown="0">
  <autoFilter ref="A1:B12" xr:uid="{4E5442B7-F823-4940-9742-719321F2E289}"/>
  <tableColumns count="2">
    <tableColumn id="1" xr3:uid="{19C88BF0-5AB8-4B1F-9578-2084ED65E8AF}" name="Month" dataDxfId="25"/>
    <tableColumn id="2" xr3:uid="{FFA0440C-9464-4E5C-B9A6-F9CDBEFD8759}" name="Sales orders won by client directors (not Partner1 or Partner2)" dataDxfId="24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80744D-B6AD-409E-91EF-E7A96D4A8E3C}" name="Table4" displayName="Table4" ref="A1:C10" totalsRowShown="0">
  <autoFilter ref="A1:C10" xr:uid="{4880744D-B6AD-409E-91EF-E7A96D4A8E3C}"/>
  <tableColumns count="3">
    <tableColumn id="1" xr3:uid="{7E35FB43-8887-4800-92C9-F91D9EDC4A37}" name="Month"/>
    <tableColumn id="2" xr3:uid="{EB0A3CD6-EF75-4A00-AC54-3C1C6E8B1E32}" name="Unweighted Sales Pipeline" dataDxfId="23" dataCellStyle="Currency">
      <calculatedColumnFormula>'Monthly Scorecard'!E5</calculatedColumnFormula>
    </tableColumn>
    <tableColumn id="3" xr3:uid="{F482B8D1-F842-4157-B4AC-04C52CC1239B}" name="Target" dataDxfId="22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Capacitas">
  <a:themeElements>
    <a:clrScheme name="Capitas">
      <a:dk1>
        <a:srgbClr val="4A4A4A"/>
      </a:dk1>
      <a:lt1>
        <a:sysClr val="window" lastClr="FFFFFF"/>
      </a:lt1>
      <a:dk2>
        <a:srgbClr val="929292"/>
      </a:dk2>
      <a:lt2>
        <a:srgbClr val="F2F2F2"/>
      </a:lt2>
      <a:accent1>
        <a:srgbClr val="11A7E0"/>
      </a:accent1>
      <a:accent2>
        <a:srgbClr val="62BB46"/>
      </a:accent2>
      <a:accent3>
        <a:srgbClr val="E9127F"/>
      </a:accent3>
      <a:accent4>
        <a:srgbClr val="FF591B"/>
      </a:accent4>
      <a:accent5>
        <a:srgbClr val="8D38CC"/>
      </a:accent5>
      <a:accent6>
        <a:srgbClr val="25959B"/>
      </a:accent6>
      <a:hlink>
        <a:srgbClr val="0A6486"/>
      </a:hlink>
      <a:folHlink>
        <a:srgbClr val="FFC000"/>
      </a:folHlink>
    </a:clrScheme>
    <a:fontScheme name="Custom 1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8100">
          <a:solidFill>
            <a:schemeClr val="bg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Capacitas" id="{0D877FE5-2268-4149-9027-54B67A836BC8}" vid="{68EA5B68-7A5C-47CD-A240-A8FB4FD7015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" dT="2022-04-19T02:50:30.85" personId="{781F3562-15F2-479C-8829-6BE7B7694664}" id="{7D48E70F-C8A8-4AB6-931C-9A1D10D85801}" done="1">
    <text>EJ is the only client showing up in ERP with a sale on Q1</text>
  </threadedComment>
  <threadedComment ref="P9" dT="2022-05-10T07:15:35.61" personId="{632B6351-5DCC-444B-B815-31EE86F21EFA}" id="{E3036080-73D4-43B5-A614-82B500E8DB04}" done="1">
    <text xml:space="preserve">@Andres Montero colour this with reference to the target </text>
    <mentions>
      <mention mentionpersonId="{6570E736-2FD0-4C2E-826B-C8BDDD6282FB}" mentionId="{820E2E7D-29B9-44D6-99E0-AD9D356E28CE}" startIndex="0" length="15"/>
    </mentions>
  </threadedComment>
  <threadedComment ref="M12" dT="2022-05-30T06:55:26.33" personId="{632B6351-5DCC-444B-B815-31EE86F21EFA}" id="{6D098D23-CF25-413A-9551-4FD94316DC54}" done="1">
    <text xml:space="preserve">@Andres Montero please note i've fixed this cell to reflect the value in K14 as well. </text>
    <mentions>
      <mention mentionpersonId="{6570E736-2FD0-4C2E-826B-C8BDDD6282FB}" mentionId="{347F5BEF-D203-4F0E-B33F-33A6443067C7}" startIndex="0" length="15"/>
    </mentions>
  </threadedComment>
  <threadedComment ref="H15" dT="2022-06-17T14:26:04.74" personId="{781F3562-15F2-479C-8829-6BE7B7694664}" id="{E7BFBBC6-71E2-49BD-81FA-C80A271D2BB6}">
    <text>Delloitte is being counted as Manzoor has a convo with a different part of the account</text>
  </threadedComment>
  <threadedComment ref="H16" dT="2022-06-30T15:14:15.10" personId="{781F3562-15F2-479C-8829-6BE7B7694664}" id="{0DE58D52-4526-4B16-8E43-BC69035EB3D9}">
    <text>Delloitte is being counted as Manzoor has a convo with a different part of the account</text>
  </threadedComment>
  <threadedComment ref="H17" dT="2022-06-30T15:14:20.62" personId="{781F3562-15F2-479C-8829-6BE7B7694664}" id="{4669D935-010C-4198-B83C-E399490FDD57}">
    <text>Delloitte is being counted as Manzoor has a convo with a different part of the account</text>
  </threadedComment>
  <threadedComment ref="F23" dT="2022-08-15T07:32:23.70" personId="{D3DA9E20-8A15-42B2-AFD9-AAB8215DC325}" id="{08CB21F3-8D8D-4180-8D66-84FEA3152125}" done="1">
    <text>@Andres Montero can you review and update the colours pls. Heres the method to use:
For ones like this where the target is for the FY we need to pro-rate. 
we are 5 months into the FY so if on target we would have 5/12*100 = 42 conversations
we are 37/42 which us 88%. Anything on or over 100% is green. Anything between 75% and 99% is amber
makes sense?</text>
    <mentions>
      <mention mentionpersonId="{6570E736-2FD0-4C2E-826B-C8BDDD6282FB}" mentionId="{412CE1F7-76D7-4F9F-9628-6D44FCB9DD3C}" startIndex="0" length="15"/>
    </mentions>
  </threadedComment>
  <threadedComment ref="E25" dT="2022-08-30T08:53:24.63" personId="{D3DA9E20-8A15-42B2-AFD9-AAB8215DC325}" id="{CEBFEB56-C67E-4869-B65F-C48B017B7FCB}">
    <text>@Andres Montero we need to have a think about this and what we do. perhaps get Lise's thoughts</text>
    <mentions>
      <mention mentionpersonId="{6570E736-2FD0-4C2E-826B-C8BDDD6282FB}" mentionId="{2011515C-A58C-40EC-88E3-24EF4357C86A}" startIndex="0" length="15"/>
    </mentions>
  </threadedComment>
  <threadedComment ref="J25" dT="2022-09-08T16:00:00.37" personId="{781F3562-15F2-479C-8829-6BE7B7694664}" id="{945C298C-349C-4052-BADD-907754AE5665}">
    <text>PowerBI report was not working during these weeks.</text>
  </threadedComment>
  <threadedComment ref="D26" dT="2022-09-12T07:45:35.96" personId="{D3DA9E20-8A15-42B2-AFD9-AAB8215DC325}" id="{3F82AEAB-4ED8-40CE-9835-99FC3FF13D8F}">
    <text>@Andres Montero I don't think this stat is correct - does it include my post stats?</text>
    <mentions>
      <mention mentionpersonId="{6570E736-2FD0-4C2E-826B-C8BDDD6282FB}" mentionId="{CF4291FE-A6BA-4CCC-A0EF-BE0D048C4188}" startIndex="0" length="15"/>
    </mentions>
  </threadedComment>
  <threadedComment ref="J28" dT="2022-09-16T08:05:18.73" personId="{D3DA9E20-8A15-42B2-AFD9-AAB8215DC325}" id="{08D329F7-6DDF-498D-B4A7-FD69457AD465}" done="1">
    <text>@Andres Montero - this number does not look correct - can you check pls</text>
    <mentions>
      <mention mentionpersonId="{6570E736-2FD0-4C2E-826B-C8BDDD6282FB}" mentionId="{A3B2275B-ED18-4FBA-8E11-BFB908C75CF4}" startIndex="0" length="15"/>
    </mentions>
  </threadedComment>
  <threadedComment ref="J29" dT="2022-09-16T08:05:18.73" personId="{D3DA9E20-8A15-42B2-AFD9-AAB8215DC325}" id="{C844E657-A5EC-4C53-AF9D-2120845B3A11}" done="1">
    <text>@Andres Montero - this number does not look correct - can you check pls</text>
    <mentions>
      <mention mentionpersonId="{6570E736-2FD0-4C2E-826B-C8BDDD6282FB}" mentionId="{FF3AF364-D763-49E8-BDD3-77C79BC8D053}" startIndex="0" length="15"/>
    </mentions>
  </threadedComment>
  <threadedComment ref="J29" dT="2022-09-25T13:47:07.55" personId="{D3DA9E20-8A15-42B2-AFD9-AAB8215DC325}" id="{8D37B9BD-669C-4B61-910F-081F191B5023}" parentId="{C844E657-A5EC-4C53-AF9D-2120845B3A11}">
    <text>@Andres Montero this figure Is not correct can you fix this please. SAP is saying it is £862K</text>
    <mentions>
      <mention mentionpersonId="{6570E736-2FD0-4C2E-826B-C8BDDD6282FB}" mentionId="{DE5C2E20-4909-4B19-970B-15F6145FD40D}" startIndex="0" length="15"/>
    </mentions>
  </threadedComment>
  <threadedComment ref="M29" dT="2022-09-25T13:48:06.14" personId="{D3DA9E20-8A15-42B2-AFD9-AAB8215DC325}" id="{FE14EA94-F953-4BE0-A23F-213009F85912}" done="1">
    <text>@Andres Montero this figure is incorrect because of J29</text>
    <mentions>
      <mention mentionpersonId="{6570E736-2FD0-4C2E-826B-C8BDDD6282FB}" mentionId="{779F7DC4-F6A5-43BE-B9FB-A1EF3798724D}" startIndex="0" length="15"/>
    </mentions>
  </threadedComment>
  <threadedComment ref="K30" dT="2022-10-03T11:30:38.16" personId="{D3DA9E20-8A15-42B2-AFD9-AAB8215DC325}" id="{422EDF02-FE18-415F-AD45-87AAB436A00B}" done="1">
    <text>@Andres Montero - please review colour coding . .. See earlier comments on how to  do this thanks!</text>
    <mentions>
      <mention mentionpersonId="{6570E736-2FD0-4C2E-826B-C8BDDD6282FB}" mentionId="{0F38E9F2-EA82-46D0-A92C-F885CB2CDAA5}" startIndex="0" length="15"/>
    </mentions>
  </threadedComment>
  <threadedComment ref="M30" dT="2022-10-03T10:21:16.97" personId="{D3DA9E20-8A15-42B2-AFD9-AAB8215DC325}" id="{BB81D040-0A7F-4098-B0B2-9DE5BB90E95E}">
    <text>Bacuase we are at end of Q</text>
  </threadedComment>
  <threadedComment ref="I35" dT="2022-11-06T12:55:43.70" personId="{D3DA9E20-8A15-42B2-AFD9-AAB8215DC325}" id="{E8F91E94-C4F4-418C-B9B6-FDB4401899BD}" done="1">
    <text>@Andres Montero can you change this back to 9 please and the previous weeks.
We don't count the SQLs for 'small' accounts (&lt;£250K)</text>
    <mentions>
      <mention mentionpersonId="{6570E736-2FD0-4C2E-826B-C8BDDD6282FB}" mentionId="{C71CE168-8219-468A-8C55-76101683CF97}" startIndex="0" length="15"/>
    </mentions>
  </threadedComment>
  <threadedComment ref="I36" dT="2022-11-11T10:41:31.70" personId="{D3DA9E20-8A15-42B2-AFD9-AAB8215DC325}" id="{465DB0E9-D6BB-422D-8272-0005B250D6D5}" done="1">
    <text>@Andres Montero I've corrected this to 10 and the previous ones to 9 - see my previous comments on this.
Soes this make sense to you?</text>
    <mentions>
      <mention mentionpersonId="{6570E736-2FD0-4C2E-826B-C8BDDD6282FB}" mentionId="{E79CC492-E73D-413B-9E98-6078BB891A95}" startIndex="0" length="15"/>
    </mentions>
  </threadedComment>
  <threadedComment ref="I36" dT="2022-11-11T13:05:22.01" personId="{781F3562-15F2-479C-8829-6BE7B7694664}" id="{1C7F38D4-AACF-4A67-AE14-0FC1102CB910}" parentId="{465DB0E9-D6BB-422D-8272-0005B250D6D5}">
    <text>Makes sense Danny! Hadn't seen the previous comment sorry~</text>
  </threadedComment>
  <threadedComment ref="K36" dT="2022-11-13T22:15:09.17" personId="{D3DA9E20-8A15-42B2-AFD9-AAB8215DC325}" id="{4E003A19-EF1D-46BC-AFCD-9287985B1E98}">
    <text xml:space="preserve">Hi @Andres Montero - this does not make sense - how could cumulative s/order decrease from previous week?
</text>
    <mentions>
      <mention mentionpersonId="{6570E736-2FD0-4C2E-826B-C8BDDD6282FB}" mentionId="{3BCC69A2-A5EA-47C4-8C92-A160AC03662F}" startIndex="3" length="15"/>
    </mentions>
  </threadedComment>
  <threadedComment ref="K36" dT="2022-11-14T02:11:30.12" personId="{781F3562-15F2-479C-8829-6BE7B7694664}" id="{382507DC-A63C-4D02-AC19-5750AC600F3B}" parentId="{4E003A19-EF1D-46BC-AFCD-9287985B1E98}">
    <text>Fixed, model did not update filters when the data was updated. Checked the other values too. This was the only one affected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BC7F-7F9B-4794-A5EB-91FF74BAE600}">
  <sheetPr>
    <tabColor theme="4"/>
  </sheetPr>
  <dimension ref="A1:I16"/>
  <sheetViews>
    <sheetView workbookViewId="0">
      <selection activeCell="G4" sqref="G4"/>
    </sheetView>
  </sheetViews>
  <sheetFormatPr defaultRowHeight="14.5" x14ac:dyDescent="0.35"/>
  <cols>
    <col min="1" max="8" width="17" customWidth="1"/>
    <col min="9" max="9" width="16.36328125" customWidth="1"/>
  </cols>
  <sheetData>
    <row r="1" spans="1:9" ht="40.5" customHeight="1" x14ac:dyDescent="0.35">
      <c r="A1" s="92" t="s">
        <v>0</v>
      </c>
      <c r="B1" s="90" t="s">
        <v>1</v>
      </c>
      <c r="C1" s="94" t="s">
        <v>2</v>
      </c>
      <c r="D1" s="90" t="s">
        <v>3</v>
      </c>
      <c r="E1" s="88" t="s">
        <v>4</v>
      </c>
      <c r="F1" s="90" t="s">
        <v>5</v>
      </c>
      <c r="G1" s="88" t="s">
        <v>6</v>
      </c>
      <c r="H1" s="90" t="s">
        <v>7</v>
      </c>
      <c r="I1" s="88" t="s">
        <v>8</v>
      </c>
    </row>
    <row r="2" spans="1:9" ht="75.75" customHeight="1" thickBot="1" x14ac:dyDescent="0.4">
      <c r="A2" s="93"/>
      <c r="B2" s="91"/>
      <c r="C2" s="89"/>
      <c r="D2" s="91"/>
      <c r="E2" s="89"/>
      <c r="F2" s="91"/>
      <c r="G2" s="89"/>
      <c r="H2" s="91"/>
      <c r="I2" s="89"/>
    </row>
    <row r="3" spans="1:9" x14ac:dyDescent="0.35"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  <c r="H3" s="3" t="s">
        <v>9</v>
      </c>
      <c r="I3" s="3" t="s">
        <v>10</v>
      </c>
    </row>
    <row r="4" spans="1:9" ht="15" thickBot="1" x14ac:dyDescent="0.4">
      <c r="B4" s="4">
        <v>100</v>
      </c>
      <c r="C4" s="4">
        <v>30</v>
      </c>
      <c r="D4" s="4">
        <v>100</v>
      </c>
      <c r="E4" s="4">
        <v>20</v>
      </c>
      <c r="F4" s="40">
        <v>0.2</v>
      </c>
      <c r="G4" s="41">
        <v>5800000</v>
      </c>
      <c r="H4" s="41">
        <v>2900000</v>
      </c>
      <c r="I4" s="39">
        <v>6400000</v>
      </c>
    </row>
    <row r="5" spans="1:9" x14ac:dyDescent="0.35">
      <c r="A5" t="s">
        <v>11</v>
      </c>
      <c r="B5" s="68">
        <f>1/12*B$4</f>
        <v>8.3333333333333321</v>
      </c>
      <c r="C5" s="68">
        <f t="shared" ref="C5:E5" si="0">1/12*C$4</f>
        <v>2.5</v>
      </c>
      <c r="D5" s="68">
        <f t="shared" si="0"/>
        <v>8.3333333333333321</v>
      </c>
      <c r="E5" s="68">
        <f t="shared" si="0"/>
        <v>1.6666666666666665</v>
      </c>
      <c r="F5" s="20">
        <f t="shared" ref="F5" si="1">1/12*F$4</f>
        <v>1.6666666666666666E-2</v>
      </c>
      <c r="G5" s="28">
        <f t="shared" ref="G5:I5" si="2">1/12*G$4</f>
        <v>483333.33333333331</v>
      </c>
      <c r="H5" s="28">
        <f t="shared" si="2"/>
        <v>241666.66666666666</v>
      </c>
      <c r="I5" s="28">
        <f t="shared" si="2"/>
        <v>533333.33333333326</v>
      </c>
    </row>
    <row r="6" spans="1:9" x14ac:dyDescent="0.35">
      <c r="A6" t="s">
        <v>12</v>
      </c>
      <c r="B6" s="68">
        <f>2/12*B$4</f>
        <v>16.666666666666664</v>
      </c>
      <c r="C6" s="68">
        <f t="shared" ref="C6:E6" si="3">2/12*C$4</f>
        <v>5</v>
      </c>
      <c r="D6" s="68">
        <f t="shared" si="3"/>
        <v>16.666666666666664</v>
      </c>
      <c r="E6" s="68">
        <f t="shared" si="3"/>
        <v>3.333333333333333</v>
      </c>
      <c r="F6" s="20">
        <f t="shared" ref="F6" si="4">2/12*F$4</f>
        <v>3.3333333333333333E-2</v>
      </c>
      <c r="G6" s="28">
        <f t="shared" ref="G6:I6" si="5">2/12*G$4</f>
        <v>966666.66666666663</v>
      </c>
      <c r="H6" s="28">
        <f t="shared" si="5"/>
        <v>483333.33333333331</v>
      </c>
      <c r="I6" s="28">
        <f t="shared" si="5"/>
        <v>1066666.6666666665</v>
      </c>
    </row>
    <row r="7" spans="1:9" x14ac:dyDescent="0.35">
      <c r="A7" t="s">
        <v>13</v>
      </c>
      <c r="B7" s="68">
        <f>3/12*B$4</f>
        <v>25</v>
      </c>
      <c r="C7" s="68">
        <f t="shared" ref="C7:E7" si="6">3/12*C$4</f>
        <v>7.5</v>
      </c>
      <c r="D7" s="68">
        <f t="shared" si="6"/>
        <v>25</v>
      </c>
      <c r="E7" s="68">
        <f t="shared" si="6"/>
        <v>5</v>
      </c>
      <c r="F7" s="20">
        <f t="shared" ref="F7" si="7">3/12*F$4</f>
        <v>0.05</v>
      </c>
      <c r="G7" s="28">
        <f t="shared" ref="G7:I7" si="8">3/12*G$4</f>
        <v>1450000</v>
      </c>
      <c r="H7" s="28">
        <f t="shared" si="8"/>
        <v>725000</v>
      </c>
      <c r="I7" s="28">
        <f t="shared" si="8"/>
        <v>1600000</v>
      </c>
    </row>
    <row r="8" spans="1:9" x14ac:dyDescent="0.35">
      <c r="A8" t="s">
        <v>14</v>
      </c>
      <c r="B8" s="68">
        <f>4/12*B$4</f>
        <v>33.333333333333329</v>
      </c>
      <c r="C8" s="68">
        <f t="shared" ref="C8:E8" si="9">4/12*C$4</f>
        <v>10</v>
      </c>
      <c r="D8" s="68">
        <f t="shared" si="9"/>
        <v>33.333333333333329</v>
      </c>
      <c r="E8" s="68">
        <f t="shared" si="9"/>
        <v>6.6666666666666661</v>
      </c>
      <c r="F8" s="20">
        <f t="shared" ref="F8" si="10">4/12*F$4</f>
        <v>6.6666666666666666E-2</v>
      </c>
      <c r="G8" s="28">
        <f t="shared" ref="G8:I8" si="11">4/12*G$4</f>
        <v>1933333.3333333333</v>
      </c>
      <c r="H8" s="28">
        <f t="shared" si="11"/>
        <v>966666.66666666663</v>
      </c>
      <c r="I8" s="28">
        <f t="shared" si="11"/>
        <v>2133333.333333333</v>
      </c>
    </row>
    <row r="9" spans="1:9" x14ac:dyDescent="0.35">
      <c r="A9" t="s">
        <v>15</v>
      </c>
      <c r="B9" s="68">
        <f>5/12*B$4</f>
        <v>41.666666666666671</v>
      </c>
      <c r="C9" s="68">
        <f t="shared" ref="C9:E9" si="12">5/12*C$4</f>
        <v>12.5</v>
      </c>
      <c r="D9" s="68">
        <f t="shared" si="12"/>
        <v>41.666666666666671</v>
      </c>
      <c r="E9" s="68">
        <f t="shared" si="12"/>
        <v>8.3333333333333339</v>
      </c>
      <c r="F9" s="20">
        <f t="shared" ref="F9" si="13">5/12*F$4</f>
        <v>8.3333333333333343E-2</v>
      </c>
      <c r="G9" s="28">
        <f t="shared" ref="G9:I9" si="14">5/12*G$4</f>
        <v>2416666.666666667</v>
      </c>
      <c r="H9" s="28">
        <f t="shared" si="14"/>
        <v>1208333.3333333335</v>
      </c>
      <c r="I9" s="28">
        <f t="shared" si="14"/>
        <v>2666666.666666667</v>
      </c>
    </row>
    <row r="10" spans="1:9" x14ac:dyDescent="0.35">
      <c r="A10" t="s">
        <v>16</v>
      </c>
      <c r="B10" s="68">
        <f>6/12*B$4</f>
        <v>50</v>
      </c>
      <c r="C10" s="68">
        <f t="shared" ref="C10:E10" si="15">6/12*C$4</f>
        <v>15</v>
      </c>
      <c r="D10" s="68">
        <f t="shared" si="15"/>
        <v>50</v>
      </c>
      <c r="E10" s="68">
        <f t="shared" si="15"/>
        <v>10</v>
      </c>
      <c r="F10" s="20">
        <f t="shared" ref="F10" si="16">6/12*F$4</f>
        <v>0.1</v>
      </c>
      <c r="G10" s="28">
        <f t="shared" ref="G10:I10" si="17">6/12*G$4</f>
        <v>2900000</v>
      </c>
      <c r="H10" s="28">
        <f t="shared" si="17"/>
        <v>1450000</v>
      </c>
      <c r="I10" s="28">
        <f t="shared" si="17"/>
        <v>3200000</v>
      </c>
    </row>
    <row r="11" spans="1:9" x14ac:dyDescent="0.35">
      <c r="A11" t="s">
        <v>17</v>
      </c>
      <c r="B11" s="68">
        <f>7/12*B$4</f>
        <v>58.333333333333336</v>
      </c>
      <c r="C11" s="68">
        <f t="shared" ref="C11:E11" si="18">7/12*C$4</f>
        <v>17.5</v>
      </c>
      <c r="D11" s="68">
        <f t="shared" si="18"/>
        <v>58.333333333333336</v>
      </c>
      <c r="E11" s="68">
        <f t="shared" si="18"/>
        <v>11.666666666666668</v>
      </c>
      <c r="F11" s="20">
        <f t="shared" ref="F11" si="19">7/12*F$4</f>
        <v>0.11666666666666668</v>
      </c>
      <c r="G11" s="28">
        <f t="shared" ref="G11:I11" si="20">7/12*G$4</f>
        <v>3383333.3333333335</v>
      </c>
      <c r="H11" s="28">
        <f t="shared" si="20"/>
        <v>1691666.6666666667</v>
      </c>
      <c r="I11" s="28">
        <f t="shared" si="20"/>
        <v>3733333.3333333335</v>
      </c>
    </row>
    <row r="12" spans="1:9" x14ac:dyDescent="0.35">
      <c r="A12" t="s">
        <v>18</v>
      </c>
      <c r="B12" s="68">
        <f>8/12*B$4</f>
        <v>66.666666666666657</v>
      </c>
      <c r="C12" s="68">
        <f t="shared" ref="C12:E12" si="21">8/12*C$4</f>
        <v>20</v>
      </c>
      <c r="D12" s="68">
        <f t="shared" si="21"/>
        <v>66.666666666666657</v>
      </c>
      <c r="E12" s="68">
        <f t="shared" si="21"/>
        <v>13.333333333333332</v>
      </c>
      <c r="F12" s="20">
        <f t="shared" ref="F12" si="22">8/12*F$4</f>
        <v>0.13333333333333333</v>
      </c>
      <c r="G12" s="28">
        <f t="shared" ref="G12:I12" si="23">8/12*G$4</f>
        <v>3866666.6666666665</v>
      </c>
      <c r="H12" s="28">
        <f t="shared" si="23"/>
        <v>1933333.3333333333</v>
      </c>
      <c r="I12" s="28">
        <f t="shared" si="23"/>
        <v>4266666.666666666</v>
      </c>
    </row>
    <row r="13" spans="1:9" x14ac:dyDescent="0.35">
      <c r="A13" t="s">
        <v>19</v>
      </c>
      <c r="B13" s="68">
        <f>9/12*B$4</f>
        <v>75</v>
      </c>
      <c r="C13" s="68">
        <f t="shared" ref="C13:E13" si="24">9/12*C$4</f>
        <v>22.5</v>
      </c>
      <c r="D13" s="68">
        <f t="shared" si="24"/>
        <v>75</v>
      </c>
      <c r="E13" s="68">
        <f t="shared" si="24"/>
        <v>15</v>
      </c>
      <c r="F13" s="20">
        <f t="shared" ref="F13" si="25">9/12*F$4</f>
        <v>0.15000000000000002</v>
      </c>
      <c r="G13" s="28">
        <f t="shared" ref="G13:I13" si="26">9/12*G$4</f>
        <v>4350000</v>
      </c>
      <c r="H13" s="28">
        <f t="shared" si="26"/>
        <v>2175000</v>
      </c>
      <c r="I13" s="28">
        <f t="shared" si="26"/>
        <v>4800000</v>
      </c>
    </row>
    <row r="14" spans="1:9" x14ac:dyDescent="0.35">
      <c r="A14" t="s">
        <v>20</v>
      </c>
      <c r="B14" s="68">
        <f>10/12*B$4</f>
        <v>83.333333333333343</v>
      </c>
      <c r="C14" s="68">
        <f t="shared" ref="C14:E14" si="27">10/12*C$4</f>
        <v>25</v>
      </c>
      <c r="D14" s="68">
        <f t="shared" si="27"/>
        <v>83.333333333333343</v>
      </c>
      <c r="E14" s="68">
        <f t="shared" si="27"/>
        <v>16.666666666666668</v>
      </c>
      <c r="F14" s="20">
        <f t="shared" ref="F14" si="28">10/12*F$4</f>
        <v>0.16666666666666669</v>
      </c>
      <c r="G14" s="28">
        <f t="shared" ref="G14:I14" si="29">10/12*G$4</f>
        <v>4833333.333333334</v>
      </c>
      <c r="H14" s="28">
        <f t="shared" si="29"/>
        <v>2416666.666666667</v>
      </c>
      <c r="I14" s="28">
        <f t="shared" si="29"/>
        <v>5333333.333333334</v>
      </c>
    </row>
    <row r="15" spans="1:9" x14ac:dyDescent="0.35">
      <c r="A15" t="s">
        <v>21</v>
      </c>
      <c r="B15" s="68">
        <f>11/12*B$4</f>
        <v>91.666666666666657</v>
      </c>
      <c r="C15" s="68">
        <f t="shared" ref="C15:E15" si="30">11/12*C$4</f>
        <v>27.5</v>
      </c>
      <c r="D15" s="68">
        <f t="shared" si="30"/>
        <v>91.666666666666657</v>
      </c>
      <c r="E15" s="68">
        <f t="shared" si="30"/>
        <v>18.333333333333332</v>
      </c>
      <c r="F15" s="20">
        <f t="shared" ref="F15" si="31">11/12*F$4</f>
        <v>0.18333333333333335</v>
      </c>
      <c r="G15" s="28">
        <f t="shared" ref="G15:I15" si="32">11/12*G$4</f>
        <v>5316666.666666666</v>
      </c>
      <c r="H15" s="28">
        <f t="shared" si="32"/>
        <v>2658333.333333333</v>
      </c>
      <c r="I15" s="28">
        <f t="shared" si="32"/>
        <v>5866666.666666666</v>
      </c>
    </row>
    <row r="16" spans="1:9" x14ac:dyDescent="0.35">
      <c r="A16" t="s">
        <v>22</v>
      </c>
      <c r="B16" s="68">
        <f>12/12*B$4</f>
        <v>100</v>
      </c>
      <c r="C16" s="68">
        <f t="shared" ref="C16:E16" si="33">12/12*C$4</f>
        <v>30</v>
      </c>
      <c r="D16" s="68">
        <f t="shared" si="33"/>
        <v>100</v>
      </c>
      <c r="E16" s="68">
        <f t="shared" si="33"/>
        <v>20</v>
      </c>
      <c r="F16" s="20">
        <f t="shared" ref="F16" si="34">12/12*F$4</f>
        <v>0.2</v>
      </c>
      <c r="G16" s="28">
        <f t="shared" ref="G16:I16" si="35">12/12*G$4</f>
        <v>5800000</v>
      </c>
      <c r="H16" s="28">
        <f t="shared" si="35"/>
        <v>2900000</v>
      </c>
      <c r="I16" s="28">
        <f t="shared" si="35"/>
        <v>6400000</v>
      </c>
    </row>
  </sheetData>
  <mergeCells count="9">
    <mergeCell ref="I1:I2"/>
    <mergeCell ref="G1:G2"/>
    <mergeCell ref="H1:H2"/>
    <mergeCell ref="A1:A2"/>
    <mergeCell ref="E1:E2"/>
    <mergeCell ref="F1:F2"/>
    <mergeCell ref="B1:B2"/>
    <mergeCell ref="C1:C2"/>
    <mergeCell ref="D1:D2"/>
  </mergeCells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B4F7-3E32-439A-8ABE-F44F96F67B73}">
  <sheetPr>
    <tabColor theme="5" tint="0.79998168889431442"/>
  </sheetPr>
  <dimension ref="A1:B9"/>
  <sheetViews>
    <sheetView workbookViewId="0">
      <selection activeCell="B2" sqref="B2"/>
    </sheetView>
  </sheetViews>
  <sheetFormatPr defaultRowHeight="14.5" x14ac:dyDescent="0.35"/>
  <cols>
    <col min="1" max="1" width="12.6328125" bestFit="1" customWidth="1"/>
    <col min="2" max="2" width="33.08984375" bestFit="1" customWidth="1"/>
  </cols>
  <sheetData>
    <row r="1" spans="1:2" x14ac:dyDescent="0.35">
      <c r="A1" s="22" t="s">
        <v>111</v>
      </c>
      <c r="B1" t="s">
        <v>116</v>
      </c>
    </row>
    <row r="2" spans="1:2" x14ac:dyDescent="0.35">
      <c r="A2" s="23" t="s">
        <v>12</v>
      </c>
      <c r="B2">
        <v>2</v>
      </c>
    </row>
    <row r="3" spans="1:2" x14ac:dyDescent="0.35">
      <c r="A3" s="23" t="s">
        <v>104</v>
      </c>
      <c r="B3">
        <v>4</v>
      </c>
    </row>
    <row r="4" spans="1:2" x14ac:dyDescent="0.35">
      <c r="A4" s="23" t="s">
        <v>105</v>
      </c>
      <c r="B4">
        <v>6</v>
      </c>
    </row>
    <row r="5" spans="1:2" x14ac:dyDescent="0.35">
      <c r="A5" s="23" t="s">
        <v>106</v>
      </c>
      <c r="B5">
        <v>7</v>
      </c>
    </row>
    <row r="6" spans="1:2" x14ac:dyDescent="0.35">
      <c r="A6" s="23" t="s">
        <v>107</v>
      </c>
      <c r="B6">
        <v>8</v>
      </c>
    </row>
    <row r="7" spans="1:2" x14ac:dyDescent="0.35">
      <c r="A7" s="23" t="s">
        <v>108</v>
      </c>
      <c r="B7">
        <v>9</v>
      </c>
    </row>
    <row r="8" spans="1:2" x14ac:dyDescent="0.35">
      <c r="A8" s="23" t="s">
        <v>115</v>
      </c>
      <c r="B8">
        <v>10</v>
      </c>
    </row>
    <row r="9" spans="1:2" x14ac:dyDescent="0.35">
      <c r="A9" s="23" t="s">
        <v>112</v>
      </c>
      <c r="B9">
        <v>10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A81-65D8-4ADD-B481-ED6640A3C850}">
  <sheetPr>
    <tabColor theme="5" tint="0.79998168889431442"/>
  </sheetPr>
  <dimension ref="A1:J10"/>
  <sheetViews>
    <sheetView zoomScale="85" zoomScaleNormal="85" workbookViewId="0">
      <selection activeCell="D2" sqref="D2"/>
    </sheetView>
  </sheetViews>
  <sheetFormatPr defaultRowHeight="14.5" x14ac:dyDescent="0.35"/>
  <cols>
    <col min="1" max="1" width="12.90625" bestFit="1" customWidth="1"/>
    <col min="2" max="2" width="6.6328125" bestFit="1" customWidth="1"/>
    <col min="3" max="3" width="26.6328125" bestFit="1" customWidth="1"/>
    <col min="4" max="4" width="20.08984375" bestFit="1" customWidth="1"/>
    <col min="5" max="5" width="21.90625" bestFit="1" customWidth="1"/>
    <col min="6" max="6" width="19.90625" bestFit="1" customWidth="1"/>
    <col min="7" max="7" width="19.453125" bestFit="1" customWidth="1"/>
    <col min="8" max="8" width="21.90625" bestFit="1" customWidth="1"/>
    <col min="9" max="9" width="16.08984375" bestFit="1" customWidth="1"/>
    <col min="10" max="10" width="20" bestFit="1" customWidth="1"/>
    <col min="11" max="11" width="19.90625" bestFit="1" customWidth="1"/>
  </cols>
  <sheetData>
    <row r="1" spans="1:10" x14ac:dyDescent="0.35">
      <c r="A1" s="22" t="s">
        <v>111</v>
      </c>
      <c r="B1" t="s">
        <v>110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</row>
    <row r="2" spans="1:10" x14ac:dyDescent="0.35">
      <c r="A2" s="24" t="s">
        <v>11</v>
      </c>
      <c r="B2">
        <v>57</v>
      </c>
      <c r="C2">
        <v>18</v>
      </c>
      <c r="D2">
        <v>18</v>
      </c>
      <c r="E2">
        <v>1</v>
      </c>
      <c r="F2">
        <v>1</v>
      </c>
      <c r="G2">
        <v>0</v>
      </c>
      <c r="H2">
        <v>0</v>
      </c>
      <c r="I2">
        <v>0</v>
      </c>
      <c r="J2">
        <v>0</v>
      </c>
    </row>
    <row r="3" spans="1:10" x14ac:dyDescent="0.35">
      <c r="A3" s="24" t="s">
        <v>12</v>
      </c>
      <c r="B3">
        <v>57</v>
      </c>
      <c r="C3">
        <v>17</v>
      </c>
      <c r="D3">
        <v>21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</row>
    <row r="4" spans="1:10" x14ac:dyDescent="0.35">
      <c r="A4" s="24" t="s">
        <v>13</v>
      </c>
      <c r="B4">
        <v>57</v>
      </c>
      <c r="C4">
        <v>20</v>
      </c>
      <c r="D4">
        <v>24</v>
      </c>
      <c r="E4">
        <v>0</v>
      </c>
      <c r="F4">
        <v>2</v>
      </c>
      <c r="G4">
        <v>0</v>
      </c>
      <c r="H4">
        <v>0</v>
      </c>
      <c r="I4">
        <v>0</v>
      </c>
      <c r="J4">
        <v>0</v>
      </c>
    </row>
    <row r="5" spans="1:10" x14ac:dyDescent="0.35">
      <c r="A5" s="24" t="s">
        <v>14</v>
      </c>
      <c r="B5">
        <v>73</v>
      </c>
      <c r="C5">
        <v>21</v>
      </c>
      <c r="D5">
        <v>23</v>
      </c>
      <c r="E5">
        <v>0</v>
      </c>
      <c r="F5">
        <v>1</v>
      </c>
      <c r="G5">
        <v>0</v>
      </c>
      <c r="H5">
        <v>0</v>
      </c>
      <c r="I5">
        <v>1</v>
      </c>
      <c r="J5">
        <v>0</v>
      </c>
    </row>
    <row r="6" spans="1:10" x14ac:dyDescent="0.35">
      <c r="A6" s="24" t="s">
        <v>15</v>
      </c>
      <c r="B6">
        <v>73</v>
      </c>
      <c r="C6">
        <v>21</v>
      </c>
      <c r="D6">
        <v>24</v>
      </c>
      <c r="E6">
        <v>0</v>
      </c>
      <c r="F6">
        <v>1</v>
      </c>
      <c r="G6">
        <v>0</v>
      </c>
      <c r="H6">
        <v>0</v>
      </c>
      <c r="I6">
        <v>4</v>
      </c>
      <c r="J6">
        <v>0</v>
      </c>
    </row>
    <row r="7" spans="1:10" x14ac:dyDescent="0.35">
      <c r="A7" s="24" t="s">
        <v>16</v>
      </c>
      <c r="B7">
        <v>73</v>
      </c>
      <c r="C7">
        <v>23</v>
      </c>
      <c r="D7">
        <v>25</v>
      </c>
      <c r="E7">
        <v>0</v>
      </c>
      <c r="F7">
        <v>1</v>
      </c>
      <c r="G7">
        <v>0</v>
      </c>
      <c r="H7">
        <v>0</v>
      </c>
      <c r="I7">
        <v>4</v>
      </c>
      <c r="J7">
        <v>0</v>
      </c>
    </row>
    <row r="8" spans="1:10" x14ac:dyDescent="0.35">
      <c r="A8" s="24" t="s">
        <v>17</v>
      </c>
      <c r="B8">
        <v>94</v>
      </c>
      <c r="C8">
        <v>23</v>
      </c>
      <c r="D8">
        <v>25</v>
      </c>
      <c r="E8">
        <v>0</v>
      </c>
      <c r="F8">
        <v>1</v>
      </c>
      <c r="G8">
        <v>0</v>
      </c>
      <c r="H8">
        <v>0</v>
      </c>
      <c r="I8">
        <v>4</v>
      </c>
      <c r="J8">
        <v>0</v>
      </c>
    </row>
    <row r="9" spans="1:10" x14ac:dyDescent="0.35">
      <c r="A9" s="24" t="s">
        <v>18</v>
      </c>
      <c r="B9">
        <v>94</v>
      </c>
      <c r="C9">
        <v>22</v>
      </c>
      <c r="D9">
        <v>24</v>
      </c>
      <c r="E9">
        <v>0</v>
      </c>
      <c r="F9">
        <v>1</v>
      </c>
      <c r="G9">
        <v>0</v>
      </c>
      <c r="H9">
        <v>0</v>
      </c>
      <c r="I9">
        <v>4</v>
      </c>
      <c r="J9">
        <v>0</v>
      </c>
    </row>
    <row r="10" spans="1:10" x14ac:dyDescent="0.35">
      <c r="A10" s="24" t="s">
        <v>112</v>
      </c>
      <c r="B10">
        <v>94</v>
      </c>
      <c r="C10">
        <v>23</v>
      </c>
      <c r="D10">
        <v>25</v>
      </c>
      <c r="E10">
        <v>1</v>
      </c>
      <c r="F10">
        <v>2</v>
      </c>
      <c r="G10">
        <v>0</v>
      </c>
      <c r="H10">
        <v>0</v>
      </c>
      <c r="I10">
        <v>4</v>
      </c>
      <c r="J10">
        <v>0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522B-AE1B-4556-86C9-823C71A762DB}">
  <sheetPr>
    <tabColor theme="5" tint="0.79998168889431442"/>
  </sheetPr>
  <dimension ref="A1:C10"/>
  <sheetViews>
    <sheetView tabSelected="1" workbookViewId="0">
      <selection activeCell="K13" sqref="K13"/>
    </sheetView>
  </sheetViews>
  <sheetFormatPr defaultRowHeight="14.5" x14ac:dyDescent="0.35"/>
  <cols>
    <col min="1" max="1" width="12.6328125" bestFit="1" customWidth="1"/>
    <col min="2" max="2" width="39.08984375" customWidth="1"/>
    <col min="3" max="3" width="13" bestFit="1" customWidth="1"/>
  </cols>
  <sheetData>
    <row r="1" spans="1:3" x14ac:dyDescent="0.35">
      <c r="A1" s="22" t="s">
        <v>111</v>
      </c>
      <c r="B1" t="s">
        <v>117</v>
      </c>
      <c r="C1" t="s">
        <v>118</v>
      </c>
    </row>
    <row r="2" spans="1:3" x14ac:dyDescent="0.35">
      <c r="A2" s="24" t="s">
        <v>11</v>
      </c>
      <c r="B2">
        <v>6453300</v>
      </c>
      <c r="C2">
        <v>12800000</v>
      </c>
    </row>
    <row r="3" spans="1:3" x14ac:dyDescent="0.35">
      <c r="A3" s="24" t="s">
        <v>12</v>
      </c>
      <c r="B3">
        <v>2781275</v>
      </c>
      <c r="C3">
        <v>12800000</v>
      </c>
    </row>
    <row r="4" spans="1:3" x14ac:dyDescent="0.35">
      <c r="A4" s="24" t="s">
        <v>13</v>
      </c>
      <c r="B4">
        <v>24312777</v>
      </c>
      <c r="C4">
        <v>12800000</v>
      </c>
    </row>
    <row r="5" spans="1:3" x14ac:dyDescent="0.35">
      <c r="A5" s="24" t="s">
        <v>14</v>
      </c>
      <c r="B5">
        <v>15944662</v>
      </c>
      <c r="C5">
        <v>12800000</v>
      </c>
    </row>
    <row r="6" spans="1:3" x14ac:dyDescent="0.35">
      <c r="A6" s="24" t="s">
        <v>15</v>
      </c>
      <c r="B6">
        <v>18838542</v>
      </c>
      <c r="C6">
        <v>12800000</v>
      </c>
    </row>
    <row r="7" spans="1:3" x14ac:dyDescent="0.35">
      <c r="A7" s="24" t="s">
        <v>16</v>
      </c>
      <c r="B7">
        <v>18667052</v>
      </c>
      <c r="C7">
        <v>18667052</v>
      </c>
    </row>
    <row r="8" spans="1:3" x14ac:dyDescent="0.35">
      <c r="A8" s="24" t="s">
        <v>17</v>
      </c>
      <c r="B8">
        <v>19233128</v>
      </c>
      <c r="C8">
        <v>5585597</v>
      </c>
    </row>
    <row r="9" spans="1:3" x14ac:dyDescent="0.35">
      <c r="A9" s="24" t="s">
        <v>18</v>
      </c>
      <c r="B9">
        <v>21395490</v>
      </c>
      <c r="C9">
        <v>6047645.4202898555</v>
      </c>
    </row>
    <row r="10" spans="1:3" x14ac:dyDescent="0.35">
      <c r="A10" s="24" t="s">
        <v>112</v>
      </c>
      <c r="B10">
        <v>24312777</v>
      </c>
      <c r="C10">
        <v>18667052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57"/>
  <sheetViews>
    <sheetView showGridLines="0" zoomScale="115" zoomScaleNormal="115" workbookViewId="0">
      <pane xSplit="3" ySplit="4" topLeftCell="J5" activePane="bottomRight" state="frozen"/>
      <selection pane="topRight" activeCell="F16" sqref="F16"/>
      <selection pane="bottomLeft" activeCell="F16" sqref="F16"/>
      <selection pane="bottomRight" activeCell="Q15" sqref="Q15"/>
    </sheetView>
  </sheetViews>
  <sheetFormatPr defaultRowHeight="14.5" x14ac:dyDescent="0.35"/>
  <cols>
    <col min="2" max="2" width="0" hidden="1" customWidth="1"/>
    <col min="3" max="3" width="14.90625" style="1" customWidth="1"/>
    <col min="4" max="16" width="25.90625" customWidth="1"/>
    <col min="18" max="18" width="11.08984375" bestFit="1" customWidth="1"/>
  </cols>
  <sheetData>
    <row r="1" spans="1:18" x14ac:dyDescent="0.35">
      <c r="A1" s="95" t="s">
        <v>23</v>
      </c>
      <c r="B1" s="96"/>
      <c r="C1" s="97"/>
      <c r="D1" s="3" t="s">
        <v>24</v>
      </c>
      <c r="E1" s="3" t="s">
        <v>24</v>
      </c>
      <c r="F1" s="3" t="s">
        <v>9</v>
      </c>
      <c r="G1" s="3" t="s">
        <v>9</v>
      </c>
      <c r="H1" s="3" t="s">
        <v>9</v>
      </c>
      <c r="I1" s="3" t="s">
        <v>9</v>
      </c>
      <c r="J1" s="3" t="s">
        <v>10</v>
      </c>
      <c r="K1" s="3" t="s">
        <v>10</v>
      </c>
      <c r="L1" s="3" t="s">
        <v>9</v>
      </c>
      <c r="M1" s="3" t="s">
        <v>10</v>
      </c>
      <c r="N1" s="3" t="s">
        <v>10</v>
      </c>
      <c r="O1" s="3" t="s">
        <v>9</v>
      </c>
      <c r="P1" s="3" t="s">
        <v>9</v>
      </c>
    </row>
    <row r="2" spans="1:18" ht="15" thickBot="1" x14ac:dyDescent="0.4">
      <c r="A2" s="98"/>
      <c r="B2" s="99"/>
      <c r="C2" s="100"/>
      <c r="D2" s="4">
        <v>2000</v>
      </c>
      <c r="E2" s="6">
        <v>0.65</v>
      </c>
      <c r="F2" s="4">
        <v>100</v>
      </c>
      <c r="G2" s="4">
        <v>30</v>
      </c>
      <c r="H2" s="4">
        <v>100</v>
      </c>
      <c r="I2" s="4">
        <v>20</v>
      </c>
      <c r="J2" s="39">
        <v>1600000</v>
      </c>
      <c r="K2" s="39">
        <v>6400000</v>
      </c>
      <c r="L2" s="40">
        <v>0.2</v>
      </c>
      <c r="M2" s="41">
        <v>1600000</v>
      </c>
      <c r="N2" s="41">
        <v>1600000</v>
      </c>
      <c r="O2" s="41">
        <v>6000000</v>
      </c>
      <c r="P2" s="41">
        <v>2900000</v>
      </c>
    </row>
    <row r="3" spans="1:18" s="1" customFormat="1" ht="38.5" customHeight="1" x14ac:dyDescent="0.35">
      <c r="A3" s="92" t="s">
        <v>25</v>
      </c>
      <c r="B3" s="107"/>
      <c r="C3" s="108"/>
      <c r="D3" s="90" t="s">
        <v>26</v>
      </c>
      <c r="E3" s="90" t="s">
        <v>27</v>
      </c>
      <c r="F3" s="90" t="s">
        <v>1</v>
      </c>
      <c r="G3" s="94" t="s">
        <v>2</v>
      </c>
      <c r="H3" s="90" t="s">
        <v>3</v>
      </c>
      <c r="I3" s="88" t="s">
        <v>4</v>
      </c>
      <c r="J3" s="90" t="s">
        <v>28</v>
      </c>
      <c r="K3" s="88" t="s">
        <v>8</v>
      </c>
      <c r="L3" s="90" t="s">
        <v>5</v>
      </c>
      <c r="M3" s="88" t="s">
        <v>29</v>
      </c>
      <c r="N3" s="90" t="s">
        <v>30</v>
      </c>
      <c r="O3" s="88" t="s">
        <v>6</v>
      </c>
      <c r="P3" s="90" t="s">
        <v>7</v>
      </c>
    </row>
    <row r="4" spans="1:18" ht="38.5" customHeight="1" thickBot="1" x14ac:dyDescent="0.4">
      <c r="A4" s="109"/>
      <c r="B4" s="110"/>
      <c r="C4" s="111"/>
      <c r="D4" s="91"/>
      <c r="E4" s="91"/>
      <c r="F4" s="91"/>
      <c r="G4" s="89"/>
      <c r="H4" s="91"/>
      <c r="I4" s="89"/>
      <c r="J4" s="91"/>
      <c r="K4" s="89"/>
      <c r="L4" s="91"/>
      <c r="M4" s="89"/>
      <c r="N4" s="91"/>
      <c r="O4" s="89"/>
      <c r="P4" s="91"/>
    </row>
    <row r="5" spans="1:18" ht="14.5" customHeight="1" thickBot="1" x14ac:dyDescent="0.4">
      <c r="A5" s="105" t="s">
        <v>31</v>
      </c>
      <c r="B5" s="2" t="s">
        <v>32</v>
      </c>
      <c r="C5" s="42">
        <v>44655</v>
      </c>
      <c r="D5" s="44">
        <v>3192</v>
      </c>
      <c r="E5" s="31">
        <v>0.47</v>
      </c>
      <c r="F5" s="45">
        <v>4</v>
      </c>
      <c r="G5" s="69"/>
      <c r="H5" s="74">
        <v>38</v>
      </c>
      <c r="I5" s="45">
        <v>0</v>
      </c>
      <c r="J5" s="36">
        <v>24800</v>
      </c>
      <c r="K5" s="33">
        <v>24800</v>
      </c>
      <c r="L5" s="37">
        <v>0.25</v>
      </c>
      <c r="M5" s="36">
        <v>1308785</v>
      </c>
      <c r="N5" s="36">
        <v>56700</v>
      </c>
      <c r="O5" s="36"/>
      <c r="P5" s="46">
        <v>1365485</v>
      </c>
    </row>
    <row r="6" spans="1:18" ht="15" thickBot="1" x14ac:dyDescent="0.4">
      <c r="A6" s="105"/>
      <c r="B6" s="1" t="s">
        <v>33</v>
      </c>
      <c r="C6" s="43">
        <v>44662</v>
      </c>
      <c r="D6" s="47">
        <v>753</v>
      </c>
      <c r="E6" s="8">
        <v>0.18</v>
      </c>
      <c r="F6" s="9">
        <v>7</v>
      </c>
      <c r="G6" s="70"/>
      <c r="H6" s="17">
        <v>38</v>
      </c>
      <c r="I6" s="7">
        <v>0</v>
      </c>
      <c r="J6" s="34">
        <v>24800</v>
      </c>
      <c r="K6" s="81">
        <v>24800</v>
      </c>
      <c r="L6" s="35">
        <v>1</v>
      </c>
      <c r="M6" s="34">
        <v>1308785</v>
      </c>
      <c r="N6" s="34">
        <v>56700</v>
      </c>
      <c r="O6" s="34"/>
      <c r="P6" s="38">
        <v>1365485</v>
      </c>
    </row>
    <row r="7" spans="1:18" ht="15" thickBot="1" x14ac:dyDescent="0.4">
      <c r="A7" s="105"/>
      <c r="B7" s="1" t="s">
        <v>34</v>
      </c>
      <c r="C7" s="43">
        <v>44669</v>
      </c>
      <c r="D7" s="47">
        <v>1292</v>
      </c>
      <c r="E7" s="10">
        <v>0.34</v>
      </c>
      <c r="F7" s="9">
        <v>7</v>
      </c>
      <c r="G7" s="70"/>
      <c r="H7" s="17">
        <v>38</v>
      </c>
      <c r="I7" s="7">
        <v>0</v>
      </c>
      <c r="J7" s="34">
        <v>174800</v>
      </c>
      <c r="K7" s="81">
        <v>174800</v>
      </c>
      <c r="L7" s="35" t="s">
        <v>35</v>
      </c>
      <c r="M7" s="34">
        <v>1443225</v>
      </c>
      <c r="N7" s="34">
        <v>56700</v>
      </c>
      <c r="O7" s="34">
        <v>2226827</v>
      </c>
      <c r="P7" s="38">
        <v>1325125</v>
      </c>
    </row>
    <row r="8" spans="1:18" ht="15" thickBot="1" x14ac:dyDescent="0.4">
      <c r="A8" s="105"/>
      <c r="B8" s="1" t="s">
        <v>36</v>
      </c>
      <c r="C8" s="43">
        <v>44676</v>
      </c>
      <c r="D8" s="47">
        <v>1429</v>
      </c>
      <c r="E8" s="10">
        <v>0.38</v>
      </c>
      <c r="F8" s="17">
        <v>10</v>
      </c>
      <c r="G8" s="7">
        <v>1</v>
      </c>
      <c r="H8" s="17">
        <v>41</v>
      </c>
      <c r="I8" s="7">
        <v>0</v>
      </c>
      <c r="J8" s="34">
        <v>209700</v>
      </c>
      <c r="K8" s="81">
        <v>209700</v>
      </c>
      <c r="L8" s="35">
        <v>0.72</v>
      </c>
      <c r="M8" s="34">
        <v>1518890</v>
      </c>
      <c r="N8" s="34">
        <v>249200</v>
      </c>
      <c r="O8" s="34">
        <v>2235296</v>
      </c>
      <c r="P8" s="38">
        <v>1558390</v>
      </c>
    </row>
    <row r="9" spans="1:18" ht="15" thickBot="1" x14ac:dyDescent="0.4">
      <c r="A9" s="105"/>
      <c r="B9" s="1" t="s">
        <v>37</v>
      </c>
      <c r="C9" s="43">
        <v>44683</v>
      </c>
      <c r="D9" s="47">
        <v>2132</v>
      </c>
      <c r="E9" s="10">
        <v>0.33</v>
      </c>
      <c r="F9" s="7">
        <v>11</v>
      </c>
      <c r="G9" s="9">
        <v>2</v>
      </c>
      <c r="H9" s="17">
        <v>40</v>
      </c>
      <c r="I9" s="7">
        <v>0</v>
      </c>
      <c r="J9" s="34">
        <v>331300</v>
      </c>
      <c r="K9" s="81">
        <v>331300</v>
      </c>
      <c r="L9" s="35">
        <v>0.45</v>
      </c>
      <c r="M9" s="34">
        <v>1551165</v>
      </c>
      <c r="N9" s="34">
        <v>467950</v>
      </c>
      <c r="O9" s="34">
        <v>2524896.2000000002</v>
      </c>
      <c r="P9" s="38">
        <v>1687815</v>
      </c>
    </row>
    <row r="10" spans="1:18" ht="15" thickBot="1" x14ac:dyDescent="0.4">
      <c r="A10" s="105"/>
      <c r="B10" s="1" t="s">
        <v>38</v>
      </c>
      <c r="C10" s="43">
        <v>44690</v>
      </c>
      <c r="D10" s="47">
        <v>1635</v>
      </c>
      <c r="E10" s="10">
        <v>0.22</v>
      </c>
      <c r="F10" s="9">
        <v>13</v>
      </c>
      <c r="G10" s="9">
        <v>3</v>
      </c>
      <c r="H10" s="17">
        <v>42</v>
      </c>
      <c r="I10" s="7">
        <v>0</v>
      </c>
      <c r="J10" s="34">
        <v>351300</v>
      </c>
      <c r="K10" s="81">
        <v>351300</v>
      </c>
      <c r="L10" s="35">
        <v>0.42</v>
      </c>
      <c r="M10" s="34">
        <v>1608545</v>
      </c>
      <c r="N10" s="34">
        <v>498120</v>
      </c>
      <c r="O10" s="34">
        <v>2452896</v>
      </c>
      <c r="P10" s="38">
        <v>1755365</v>
      </c>
      <c r="R10" s="16"/>
    </row>
    <row r="11" spans="1:18" ht="15" thickBot="1" x14ac:dyDescent="0.4">
      <c r="A11" s="105"/>
      <c r="B11" s="1" t="s">
        <v>39</v>
      </c>
      <c r="C11" s="43">
        <v>44697</v>
      </c>
      <c r="D11" s="47">
        <v>1703</v>
      </c>
      <c r="E11" s="10">
        <v>0.17</v>
      </c>
      <c r="F11" s="17">
        <v>17</v>
      </c>
      <c r="G11" s="9">
        <v>4</v>
      </c>
      <c r="H11" s="17">
        <v>44</v>
      </c>
      <c r="I11" s="7">
        <v>0</v>
      </c>
      <c r="J11" s="34">
        <v>362100</v>
      </c>
      <c r="K11" s="81">
        <v>362100</v>
      </c>
      <c r="L11" s="35">
        <v>0.41</v>
      </c>
      <c r="M11" s="34">
        <v>2138483</v>
      </c>
      <c r="N11" s="34">
        <v>555620</v>
      </c>
      <c r="O11" s="34">
        <v>3088896</v>
      </c>
      <c r="P11" s="38">
        <v>2332000</v>
      </c>
    </row>
    <row r="12" spans="1:18" ht="15" thickBot="1" x14ac:dyDescent="0.4">
      <c r="A12" s="105"/>
      <c r="B12" s="1" t="s">
        <v>40</v>
      </c>
      <c r="C12" s="43">
        <v>44704</v>
      </c>
      <c r="D12" s="47">
        <v>2560</v>
      </c>
      <c r="E12" s="10">
        <v>0.22</v>
      </c>
      <c r="F12" s="17">
        <v>22</v>
      </c>
      <c r="G12" s="9">
        <v>4</v>
      </c>
      <c r="H12" s="17">
        <v>44</v>
      </c>
      <c r="I12" s="7">
        <v>0</v>
      </c>
      <c r="J12" s="34">
        <v>362100</v>
      </c>
      <c r="K12" s="81">
        <v>362100</v>
      </c>
      <c r="L12" s="35">
        <v>0.41</v>
      </c>
      <c r="M12" s="34">
        <f>1816278+K12</f>
        <v>2178378</v>
      </c>
      <c r="N12" s="34">
        <v>696915</v>
      </c>
      <c r="O12" s="34">
        <v>3582996</v>
      </c>
      <c r="P12" s="38">
        <v>2513194</v>
      </c>
    </row>
    <row r="13" spans="1:18" ht="15" thickBot="1" x14ac:dyDescent="0.4">
      <c r="A13" s="105"/>
      <c r="B13" s="1" t="s">
        <v>41</v>
      </c>
      <c r="C13" s="43">
        <v>44711</v>
      </c>
      <c r="D13" s="47">
        <v>620</v>
      </c>
      <c r="E13" s="10">
        <v>0.16</v>
      </c>
      <c r="F13" s="17">
        <v>22</v>
      </c>
      <c r="G13" s="9">
        <v>4</v>
      </c>
      <c r="H13" s="17">
        <v>44</v>
      </c>
      <c r="I13" s="7">
        <v>2</v>
      </c>
      <c r="J13" s="34">
        <v>1230000</v>
      </c>
      <c r="K13" s="83">
        <v>1230000</v>
      </c>
      <c r="L13" s="35">
        <v>0.7</v>
      </c>
      <c r="M13" s="34">
        <f>404878+J13</f>
        <v>1634878</v>
      </c>
      <c r="N13" s="34">
        <v>1415575</v>
      </c>
      <c r="O13" s="34">
        <v>3220896</v>
      </c>
      <c r="P13" s="38">
        <f>M13+N13</f>
        <v>3050453</v>
      </c>
    </row>
    <row r="14" spans="1:18" ht="15" thickBot="1" x14ac:dyDescent="0.4">
      <c r="A14" s="105"/>
      <c r="B14" s="1" t="s">
        <v>42</v>
      </c>
      <c r="C14" s="43">
        <v>44718</v>
      </c>
      <c r="D14" s="47">
        <v>2238</v>
      </c>
      <c r="E14" s="10">
        <v>0.26</v>
      </c>
      <c r="F14" s="9">
        <v>23</v>
      </c>
      <c r="G14" s="7">
        <v>4</v>
      </c>
      <c r="H14" s="17">
        <v>43</v>
      </c>
      <c r="I14" s="7">
        <v>2</v>
      </c>
      <c r="J14" s="34">
        <v>1430000</v>
      </c>
      <c r="K14" s="81">
        <v>1143000</v>
      </c>
      <c r="L14" s="35">
        <v>0.6</v>
      </c>
      <c r="M14" s="34">
        <f>535773+J14</f>
        <v>1965773</v>
      </c>
      <c r="N14" s="34">
        <v>1444485</v>
      </c>
      <c r="O14" s="34">
        <v>3446896</v>
      </c>
      <c r="P14" s="38">
        <f t="shared" ref="P14:P16" si="0">M14+N14</f>
        <v>3410258</v>
      </c>
    </row>
    <row r="15" spans="1:18" ht="15" thickBot="1" x14ac:dyDescent="0.4">
      <c r="A15" s="105"/>
      <c r="B15" s="1" t="s">
        <v>43</v>
      </c>
      <c r="C15" s="43">
        <v>44725</v>
      </c>
      <c r="D15" s="47">
        <v>2636</v>
      </c>
      <c r="E15" s="10">
        <v>0.23</v>
      </c>
      <c r="F15" s="17">
        <v>26</v>
      </c>
      <c r="G15" s="7">
        <v>4</v>
      </c>
      <c r="H15" s="17">
        <v>45</v>
      </c>
      <c r="I15" s="7">
        <v>2</v>
      </c>
      <c r="J15" s="34">
        <v>1490000</v>
      </c>
      <c r="K15" s="80">
        <v>1490000</v>
      </c>
      <c r="L15" s="35">
        <v>0.56999999999999995</v>
      </c>
      <c r="M15" s="34">
        <f>312398+J15</f>
        <v>1802398</v>
      </c>
      <c r="N15" s="34">
        <v>1665345</v>
      </c>
      <c r="O15" s="34">
        <v>3445536</v>
      </c>
      <c r="P15" s="38">
        <f t="shared" si="0"/>
        <v>3467743</v>
      </c>
    </row>
    <row r="16" spans="1:18" ht="15" thickBot="1" x14ac:dyDescent="0.4">
      <c r="A16" s="105"/>
      <c r="B16" s="1" t="s">
        <v>44</v>
      </c>
      <c r="C16" s="43">
        <v>44732</v>
      </c>
      <c r="D16" s="47">
        <v>2730</v>
      </c>
      <c r="E16" s="10">
        <v>0.22</v>
      </c>
      <c r="F16" s="17">
        <v>26</v>
      </c>
      <c r="G16" s="7">
        <v>4</v>
      </c>
      <c r="H16" s="17">
        <v>46</v>
      </c>
      <c r="I16" s="7">
        <v>2</v>
      </c>
      <c r="J16" s="34">
        <v>1600000</v>
      </c>
      <c r="K16" s="83">
        <v>1600000</v>
      </c>
      <c r="L16" s="35">
        <v>0.53</v>
      </c>
      <c r="M16" s="34">
        <f>J16</f>
        <v>1600000</v>
      </c>
      <c r="N16" s="34">
        <v>5718889</v>
      </c>
      <c r="O16" s="34">
        <v>3910001</v>
      </c>
      <c r="P16" s="38">
        <f t="shared" si="0"/>
        <v>7318889</v>
      </c>
    </row>
    <row r="17" spans="1:16" ht="15" thickBot="1" x14ac:dyDescent="0.4">
      <c r="A17" s="106"/>
      <c r="B17" s="1" t="s">
        <v>45</v>
      </c>
      <c r="C17" s="43">
        <v>44739</v>
      </c>
      <c r="D17" s="48">
        <v>5350</v>
      </c>
      <c r="E17" s="49">
        <v>0.37</v>
      </c>
      <c r="F17" s="72">
        <v>26</v>
      </c>
      <c r="G17" s="73">
        <v>4</v>
      </c>
      <c r="H17" s="72">
        <v>48</v>
      </c>
      <c r="I17" s="73">
        <v>4</v>
      </c>
      <c r="J17" s="50">
        <v>1610000</v>
      </c>
      <c r="K17" s="84">
        <v>1610000</v>
      </c>
      <c r="L17" s="51">
        <v>0.54</v>
      </c>
      <c r="M17" s="50">
        <f>J17</f>
        <v>1610000</v>
      </c>
      <c r="N17" s="50">
        <v>6627839.4500000002</v>
      </c>
      <c r="O17" s="50">
        <v>3958912.8666666672</v>
      </c>
      <c r="P17" s="52">
        <f t="shared" ref="P17:P29" si="1">M17+N17</f>
        <v>8237839.4500000002</v>
      </c>
    </row>
    <row r="18" spans="1:16" ht="15" thickBot="1" x14ac:dyDescent="0.4">
      <c r="A18" s="101" t="s">
        <v>46</v>
      </c>
      <c r="B18" s="12" t="s">
        <v>47</v>
      </c>
      <c r="C18" s="53">
        <v>44746</v>
      </c>
      <c r="D18" s="44">
        <v>1809</v>
      </c>
      <c r="E18" s="31">
        <v>0.41</v>
      </c>
      <c r="F18" s="32">
        <v>27</v>
      </c>
      <c r="G18" s="45">
        <v>4</v>
      </c>
      <c r="H18" s="74">
        <v>45</v>
      </c>
      <c r="I18" s="45">
        <v>4</v>
      </c>
      <c r="J18" s="33">
        <v>0</v>
      </c>
      <c r="K18" s="82">
        <v>1610000</v>
      </c>
      <c r="L18" s="37">
        <v>0.53</v>
      </c>
      <c r="M18" s="36">
        <f>J18+1820020</f>
        <v>1820020</v>
      </c>
      <c r="N18" s="36">
        <v>26250</v>
      </c>
      <c r="O18" s="36">
        <v>3984910</v>
      </c>
      <c r="P18" s="46">
        <f t="shared" si="1"/>
        <v>1846270</v>
      </c>
    </row>
    <row r="19" spans="1:16" ht="15" thickBot="1" x14ac:dyDescent="0.4">
      <c r="A19" s="102"/>
      <c r="B19" s="1" t="s">
        <v>48</v>
      </c>
      <c r="C19" s="43">
        <v>44753</v>
      </c>
      <c r="D19" s="47">
        <v>1356</v>
      </c>
      <c r="E19" s="10">
        <v>0.5</v>
      </c>
      <c r="F19" s="17">
        <v>34</v>
      </c>
      <c r="G19" s="9">
        <v>7</v>
      </c>
      <c r="H19" s="17">
        <v>47</v>
      </c>
      <c r="I19" s="7">
        <v>4</v>
      </c>
      <c r="J19" s="34">
        <v>1158629</v>
      </c>
      <c r="K19" s="81">
        <v>1184879</v>
      </c>
      <c r="L19" s="35">
        <v>0.48</v>
      </c>
      <c r="M19" s="34">
        <f>J19+172400</f>
        <v>1331029</v>
      </c>
      <c r="N19" s="34">
        <v>26250</v>
      </c>
      <c r="O19" s="34">
        <v>4295080</v>
      </c>
      <c r="P19" s="38">
        <f t="shared" si="1"/>
        <v>1357279</v>
      </c>
    </row>
    <row r="20" spans="1:16" ht="15" thickBot="1" x14ac:dyDescent="0.4">
      <c r="A20" s="102"/>
      <c r="B20" s="1" t="s">
        <v>49</v>
      </c>
      <c r="C20" s="43">
        <v>44760</v>
      </c>
      <c r="D20" s="47">
        <v>751</v>
      </c>
      <c r="E20" s="5">
        <v>0.2</v>
      </c>
      <c r="F20" s="17">
        <v>34</v>
      </c>
      <c r="G20" s="9">
        <v>7</v>
      </c>
      <c r="H20" s="17">
        <v>48</v>
      </c>
      <c r="I20" s="9">
        <v>5</v>
      </c>
      <c r="J20" s="34">
        <v>172400</v>
      </c>
      <c r="K20" s="80">
        <v>1790000</v>
      </c>
      <c r="L20" s="35">
        <v>0.48</v>
      </c>
      <c r="M20" s="34">
        <f>J20+1278904</f>
        <v>1451304</v>
      </c>
      <c r="N20" s="34">
        <v>26250</v>
      </c>
      <c r="O20" s="34">
        <v>4473476</v>
      </c>
      <c r="P20" s="38">
        <f t="shared" si="1"/>
        <v>1477554</v>
      </c>
    </row>
    <row r="21" spans="1:16" ht="15" thickBot="1" x14ac:dyDescent="0.4">
      <c r="A21" s="102"/>
      <c r="B21" s="1" t="s">
        <v>50</v>
      </c>
      <c r="C21" s="43">
        <v>44767</v>
      </c>
      <c r="D21" s="47">
        <v>1034</v>
      </c>
      <c r="E21" s="5">
        <v>0.2</v>
      </c>
      <c r="F21" s="17">
        <v>35</v>
      </c>
      <c r="G21" s="9">
        <v>8</v>
      </c>
      <c r="H21" s="17">
        <v>48</v>
      </c>
      <c r="I21" s="9">
        <v>6</v>
      </c>
      <c r="J21" s="34">
        <v>223400</v>
      </c>
      <c r="K21" s="80">
        <v>1840000</v>
      </c>
      <c r="L21" s="35">
        <v>0.47</v>
      </c>
      <c r="M21" s="34">
        <f>1407320+J21</f>
        <v>1630720</v>
      </c>
      <c r="N21" s="34">
        <v>26250</v>
      </c>
      <c r="O21" s="34">
        <v>4693076</v>
      </c>
      <c r="P21" s="38">
        <f t="shared" si="1"/>
        <v>1656970</v>
      </c>
    </row>
    <row r="22" spans="1:16" ht="15" thickBot="1" x14ac:dyDescent="0.4">
      <c r="A22" s="102"/>
      <c r="B22" s="1" t="s">
        <v>51</v>
      </c>
      <c r="C22" s="43">
        <v>44774</v>
      </c>
      <c r="D22" s="47">
        <v>2068</v>
      </c>
      <c r="E22" s="5">
        <v>0.23</v>
      </c>
      <c r="F22" s="9">
        <v>35</v>
      </c>
      <c r="G22" s="7">
        <v>8</v>
      </c>
      <c r="H22" s="17">
        <v>48</v>
      </c>
      <c r="I22" s="9">
        <v>7</v>
      </c>
      <c r="J22" s="34">
        <v>223400</v>
      </c>
      <c r="K22" s="81">
        <v>1840000</v>
      </c>
      <c r="L22" s="35">
        <v>0.47</v>
      </c>
      <c r="M22" s="34">
        <f>1161990+J22</f>
        <v>1385390</v>
      </c>
      <c r="N22" s="34">
        <v>26250</v>
      </c>
      <c r="O22" s="34">
        <v>4710976</v>
      </c>
      <c r="P22" s="38">
        <f t="shared" si="1"/>
        <v>1411640</v>
      </c>
    </row>
    <row r="23" spans="1:16" ht="15" thickBot="1" x14ac:dyDescent="0.4">
      <c r="A23" s="102"/>
      <c r="B23" s="1" t="s">
        <v>52</v>
      </c>
      <c r="C23" s="43">
        <v>44781</v>
      </c>
      <c r="D23" s="47">
        <v>1924</v>
      </c>
      <c r="E23" s="5">
        <v>0.11</v>
      </c>
      <c r="F23" s="9">
        <v>37</v>
      </c>
      <c r="G23" s="9">
        <v>9</v>
      </c>
      <c r="H23" s="17">
        <v>50</v>
      </c>
      <c r="I23" s="9">
        <v>7</v>
      </c>
      <c r="J23" s="34">
        <v>489400</v>
      </c>
      <c r="K23" s="80">
        <v>2100000</v>
      </c>
      <c r="L23" s="35">
        <v>0.41</v>
      </c>
      <c r="M23" s="34">
        <f>1389986+J23</f>
        <v>1879386</v>
      </c>
      <c r="N23" s="34">
        <v>31500</v>
      </c>
      <c r="O23" s="34">
        <v>4710975.6761904759</v>
      </c>
      <c r="P23" s="38">
        <f t="shared" si="1"/>
        <v>1910886</v>
      </c>
    </row>
    <row r="24" spans="1:16" ht="15" thickBot="1" x14ac:dyDescent="0.4">
      <c r="A24" s="102"/>
      <c r="B24" s="1" t="s">
        <v>53</v>
      </c>
      <c r="C24" s="43">
        <v>44788</v>
      </c>
      <c r="D24" s="47">
        <f>616+1119</f>
        <v>1735</v>
      </c>
      <c r="E24" s="5">
        <v>0.22</v>
      </c>
      <c r="F24" s="9">
        <v>37</v>
      </c>
      <c r="G24" s="9">
        <v>9</v>
      </c>
      <c r="H24" s="17">
        <v>50</v>
      </c>
      <c r="I24" s="9">
        <v>7</v>
      </c>
      <c r="J24" s="34">
        <v>519870</v>
      </c>
      <c r="K24" s="80">
        <v>2130000</v>
      </c>
      <c r="L24" s="35">
        <v>0.4</v>
      </c>
      <c r="M24" s="34">
        <f>1502341+J24</f>
        <v>2022211</v>
      </c>
      <c r="N24" s="34">
        <v>61250</v>
      </c>
      <c r="O24" s="34">
        <v>4721190</v>
      </c>
      <c r="P24" s="38">
        <f t="shared" si="1"/>
        <v>2083461</v>
      </c>
    </row>
    <row r="25" spans="1:16" ht="15" thickBot="1" x14ac:dyDescent="0.4">
      <c r="A25" s="102"/>
      <c r="B25" s="1" t="s">
        <v>54</v>
      </c>
      <c r="C25" s="43">
        <v>44795</v>
      </c>
      <c r="D25" s="47">
        <v>3239</v>
      </c>
      <c r="E25" s="5">
        <v>0.2</v>
      </c>
      <c r="F25" s="9">
        <v>37</v>
      </c>
      <c r="G25" s="9">
        <v>9</v>
      </c>
      <c r="H25" s="17">
        <v>50</v>
      </c>
      <c r="I25" s="9">
        <v>7</v>
      </c>
      <c r="J25" s="76"/>
      <c r="K25" s="76"/>
      <c r="L25" s="77"/>
      <c r="M25" s="34">
        <f>1141256+J25</f>
        <v>1141256</v>
      </c>
      <c r="N25" s="34">
        <v>512400</v>
      </c>
      <c r="O25" s="34">
        <v>5125690</v>
      </c>
      <c r="P25" s="38">
        <f t="shared" si="1"/>
        <v>1653656</v>
      </c>
    </row>
    <row r="26" spans="1:16" ht="15" thickBot="1" x14ac:dyDescent="0.4">
      <c r="A26" s="102"/>
      <c r="B26" s="1" t="s">
        <v>55</v>
      </c>
      <c r="C26" s="43">
        <v>44802</v>
      </c>
      <c r="D26" s="47">
        <v>1058</v>
      </c>
      <c r="E26" s="5">
        <v>0.24</v>
      </c>
      <c r="F26" s="9">
        <v>39</v>
      </c>
      <c r="G26" s="9">
        <v>10</v>
      </c>
      <c r="H26" s="17">
        <v>50</v>
      </c>
      <c r="I26" s="9">
        <v>7</v>
      </c>
      <c r="J26" s="76"/>
      <c r="K26" s="76"/>
      <c r="L26" s="77"/>
      <c r="M26" s="34">
        <f>1159608+J26</f>
        <v>1159608</v>
      </c>
      <c r="N26" s="34">
        <v>657825</v>
      </c>
      <c r="O26" s="34">
        <v>5137440</v>
      </c>
      <c r="P26" s="38">
        <f t="shared" si="1"/>
        <v>1817433</v>
      </c>
    </row>
    <row r="27" spans="1:16" ht="15" thickBot="1" x14ac:dyDescent="0.4">
      <c r="A27" s="102"/>
      <c r="B27" s="1" t="s">
        <v>56</v>
      </c>
      <c r="C27" s="43">
        <v>44809</v>
      </c>
      <c r="D27" s="47">
        <v>2332</v>
      </c>
      <c r="E27" s="5">
        <v>0.28999999999999998</v>
      </c>
      <c r="F27" s="75">
        <v>39</v>
      </c>
      <c r="G27" s="9">
        <v>10</v>
      </c>
      <c r="H27" s="17">
        <v>51</v>
      </c>
      <c r="I27" s="7">
        <v>7</v>
      </c>
      <c r="J27" s="34">
        <v>570370</v>
      </c>
      <c r="K27" s="81">
        <v>2210000</v>
      </c>
      <c r="L27" s="35">
        <v>0.39</v>
      </c>
      <c r="M27" s="34">
        <f>964621+J27</f>
        <v>1534991</v>
      </c>
      <c r="N27" s="34">
        <v>863600</v>
      </c>
      <c r="O27" s="34">
        <v>5137440</v>
      </c>
      <c r="P27" s="38">
        <f t="shared" si="1"/>
        <v>2398591</v>
      </c>
    </row>
    <row r="28" spans="1:16" ht="15" thickBot="1" x14ac:dyDescent="0.4">
      <c r="A28" s="102"/>
      <c r="B28" s="1" t="s">
        <v>57</v>
      </c>
      <c r="C28" s="43">
        <v>44816</v>
      </c>
      <c r="D28" s="47">
        <v>4991</v>
      </c>
      <c r="E28" s="5">
        <v>0.4</v>
      </c>
      <c r="F28" s="9">
        <v>39</v>
      </c>
      <c r="G28" s="9">
        <v>10</v>
      </c>
      <c r="H28" s="17">
        <v>52</v>
      </c>
      <c r="I28" s="9">
        <v>8</v>
      </c>
      <c r="J28" s="34">
        <v>582620</v>
      </c>
      <c r="K28" s="81">
        <v>2220000</v>
      </c>
      <c r="L28" s="35">
        <v>0.38</v>
      </c>
      <c r="M28" s="34">
        <f>874781+J28</f>
        <v>1457401</v>
      </c>
      <c r="N28" s="34">
        <v>1097612</v>
      </c>
      <c r="O28" s="34">
        <v>5417222</v>
      </c>
      <c r="P28" s="38">
        <f t="shared" si="1"/>
        <v>2555013</v>
      </c>
    </row>
    <row r="29" spans="1:16" ht="15" thickBot="1" x14ac:dyDescent="0.4">
      <c r="A29" s="102"/>
      <c r="B29" s="1" t="s">
        <v>58</v>
      </c>
      <c r="C29" s="43">
        <v>44823</v>
      </c>
      <c r="D29" s="47">
        <v>2044</v>
      </c>
      <c r="E29" s="5">
        <v>0.18</v>
      </c>
      <c r="F29" s="9">
        <v>39</v>
      </c>
      <c r="G29" s="9">
        <v>10</v>
      </c>
      <c r="H29" s="17">
        <v>52</v>
      </c>
      <c r="I29" s="9">
        <v>8</v>
      </c>
      <c r="J29" s="34">
        <v>862120</v>
      </c>
      <c r="K29" s="80">
        <v>2500000</v>
      </c>
      <c r="L29" s="35">
        <v>0.38</v>
      </c>
      <c r="M29" s="34">
        <f>684560+J29</f>
        <v>1546680</v>
      </c>
      <c r="N29" s="34">
        <v>1395112</v>
      </c>
      <c r="O29" s="34">
        <v>5400222</v>
      </c>
      <c r="P29" s="38">
        <f t="shared" si="1"/>
        <v>2941792</v>
      </c>
    </row>
    <row r="30" spans="1:16" ht="15" thickBot="1" x14ac:dyDescent="0.4">
      <c r="A30" s="103"/>
      <c r="B30" s="14" t="s">
        <v>59</v>
      </c>
      <c r="C30" s="54">
        <v>44830</v>
      </c>
      <c r="D30" s="48">
        <v>4967</v>
      </c>
      <c r="E30" s="15">
        <v>0.26</v>
      </c>
      <c r="F30" s="78">
        <v>39</v>
      </c>
      <c r="G30" s="78">
        <v>10</v>
      </c>
      <c r="H30" s="72">
        <v>53</v>
      </c>
      <c r="I30" s="78">
        <v>8</v>
      </c>
      <c r="J30" s="50">
        <v>1489967</v>
      </c>
      <c r="K30" s="79">
        <v>3130000</v>
      </c>
      <c r="L30" s="51">
        <v>0.35</v>
      </c>
      <c r="M30" s="50">
        <f>J30</f>
        <v>1489967</v>
      </c>
      <c r="N30" s="50">
        <v>0</v>
      </c>
      <c r="O30" s="50">
        <v>5385036</v>
      </c>
      <c r="P30" s="52">
        <f t="shared" ref="P30:P35" si="2">M30+N30</f>
        <v>1489967</v>
      </c>
    </row>
    <row r="31" spans="1:16" ht="15" thickBot="1" x14ac:dyDescent="0.4">
      <c r="A31" s="104" t="s">
        <v>60</v>
      </c>
      <c r="B31" s="1" t="s">
        <v>61</v>
      </c>
      <c r="C31" s="43">
        <v>44837</v>
      </c>
      <c r="D31" s="44">
        <v>4380</v>
      </c>
      <c r="E31" s="13">
        <v>0.26</v>
      </c>
      <c r="F31" s="45">
        <v>40</v>
      </c>
      <c r="G31" s="45">
        <v>10</v>
      </c>
      <c r="H31" s="32">
        <v>55</v>
      </c>
      <c r="I31" s="32">
        <v>9</v>
      </c>
      <c r="J31" s="36">
        <v>240600</v>
      </c>
      <c r="K31" s="82">
        <v>3370000</v>
      </c>
      <c r="L31" s="37">
        <v>0.4</v>
      </c>
      <c r="M31" s="36">
        <f>J31+2917077</f>
        <v>3157677</v>
      </c>
      <c r="N31" s="36">
        <v>0</v>
      </c>
      <c r="O31" s="36">
        <v>5384836</v>
      </c>
      <c r="P31" s="46">
        <f t="shared" si="2"/>
        <v>3157677</v>
      </c>
    </row>
    <row r="32" spans="1:16" ht="15" thickBot="1" x14ac:dyDescent="0.4">
      <c r="A32" s="105"/>
      <c r="B32" s="1" t="s">
        <v>62</v>
      </c>
      <c r="C32" s="43">
        <v>44844</v>
      </c>
      <c r="D32" s="47">
        <v>17428</v>
      </c>
      <c r="E32" s="5">
        <v>0.23</v>
      </c>
      <c r="F32" s="7">
        <v>41</v>
      </c>
      <c r="G32" s="7">
        <v>10</v>
      </c>
      <c r="H32" s="9">
        <v>56</v>
      </c>
      <c r="I32" s="9">
        <v>9</v>
      </c>
      <c r="J32" s="34">
        <v>267600</v>
      </c>
      <c r="K32" s="80">
        <v>3400000</v>
      </c>
      <c r="L32" s="35">
        <v>0.5</v>
      </c>
      <c r="M32" s="34">
        <f>2790523+J32</f>
        <v>3058123</v>
      </c>
      <c r="N32" s="34">
        <v>98000</v>
      </c>
      <c r="O32" s="34">
        <v>5265485</v>
      </c>
      <c r="P32" s="38">
        <f t="shared" si="2"/>
        <v>3156123</v>
      </c>
    </row>
    <row r="33" spans="1:16" ht="15" thickBot="1" x14ac:dyDescent="0.4">
      <c r="A33" s="105"/>
      <c r="B33" s="1" t="s">
        <v>63</v>
      </c>
      <c r="C33" s="43">
        <v>44851</v>
      </c>
      <c r="D33" s="85">
        <v>3318</v>
      </c>
      <c r="E33" s="5">
        <v>0.2</v>
      </c>
      <c r="F33" s="7">
        <v>41</v>
      </c>
      <c r="G33" s="7">
        <v>10</v>
      </c>
      <c r="H33" s="9">
        <v>55</v>
      </c>
      <c r="I33" s="9">
        <v>9</v>
      </c>
      <c r="J33" s="34">
        <v>267600</v>
      </c>
      <c r="K33" s="80">
        <v>3400000</v>
      </c>
      <c r="L33" s="35">
        <v>0.4</v>
      </c>
      <c r="M33" s="34">
        <f>2729400+J33</f>
        <v>2997000</v>
      </c>
      <c r="N33" s="34">
        <v>133295</v>
      </c>
      <c r="O33" s="34">
        <v>5279547</v>
      </c>
      <c r="P33" s="38">
        <f t="shared" si="2"/>
        <v>3130295</v>
      </c>
    </row>
    <row r="34" spans="1:16" ht="15" thickBot="1" x14ac:dyDescent="0.4">
      <c r="A34" s="105"/>
      <c r="B34" s="1" t="s">
        <v>64</v>
      </c>
      <c r="C34" s="43">
        <v>44858</v>
      </c>
      <c r="D34" s="47">
        <v>6435</v>
      </c>
      <c r="E34" s="5">
        <v>0.4</v>
      </c>
      <c r="F34" s="7">
        <v>41</v>
      </c>
      <c r="G34" s="7">
        <v>10</v>
      </c>
      <c r="H34" s="9">
        <v>54</v>
      </c>
      <c r="I34" s="9">
        <v>9</v>
      </c>
      <c r="J34" s="34">
        <v>369620</v>
      </c>
      <c r="K34" s="80">
        <v>3500000</v>
      </c>
      <c r="L34" s="35">
        <v>0.4</v>
      </c>
      <c r="M34" s="34">
        <f>J34+1887054</f>
        <v>2256674</v>
      </c>
      <c r="N34" s="34">
        <v>142045</v>
      </c>
      <c r="O34" s="34">
        <v>5585597</v>
      </c>
      <c r="P34" s="38">
        <f t="shared" si="2"/>
        <v>2398719</v>
      </c>
    </row>
    <row r="35" spans="1:16" ht="15" thickBot="1" x14ac:dyDescent="0.4">
      <c r="A35" s="105"/>
      <c r="B35" s="1" t="s">
        <v>65</v>
      </c>
      <c r="C35" s="43">
        <v>44865</v>
      </c>
      <c r="D35" s="47">
        <v>1940</v>
      </c>
      <c r="E35" s="5">
        <v>0.16</v>
      </c>
      <c r="F35" s="7">
        <v>41</v>
      </c>
      <c r="G35" s="7">
        <v>10</v>
      </c>
      <c r="H35" s="9">
        <v>54</v>
      </c>
      <c r="I35" s="9">
        <v>9</v>
      </c>
      <c r="J35" s="34">
        <v>394620</v>
      </c>
      <c r="K35" s="80">
        <v>3520000</v>
      </c>
      <c r="L35" s="35">
        <v>0.4</v>
      </c>
      <c r="M35" s="34">
        <f>J35+1927584</f>
        <v>2322204</v>
      </c>
      <c r="N35" s="34">
        <v>142045</v>
      </c>
      <c r="O35" s="34">
        <v>5585597</v>
      </c>
      <c r="P35" s="38">
        <f t="shared" si="2"/>
        <v>2464249</v>
      </c>
    </row>
    <row r="36" spans="1:16" ht="15" thickBot="1" x14ac:dyDescent="0.4">
      <c r="A36" s="105"/>
      <c r="B36" s="1" t="s">
        <v>66</v>
      </c>
      <c r="C36" s="43">
        <v>44872</v>
      </c>
      <c r="D36" s="47">
        <v>8629</v>
      </c>
      <c r="E36" s="5">
        <v>0.16</v>
      </c>
      <c r="F36" s="7">
        <v>41</v>
      </c>
      <c r="G36" s="7">
        <v>10</v>
      </c>
      <c r="H36" s="9">
        <v>54</v>
      </c>
      <c r="I36" s="9">
        <v>10</v>
      </c>
      <c r="J36" s="34">
        <v>503870</v>
      </c>
      <c r="K36" s="80">
        <v>3630000</v>
      </c>
      <c r="L36" s="35">
        <v>0.38</v>
      </c>
      <c r="M36" s="34">
        <f>J36+1830280</f>
        <v>2334150</v>
      </c>
      <c r="N36" s="34">
        <v>217295</v>
      </c>
      <c r="O36" s="34">
        <v>6107970</v>
      </c>
      <c r="P36" s="38">
        <f>M36+N36</f>
        <v>2551445</v>
      </c>
    </row>
    <row r="37" spans="1:16" ht="15" thickBot="1" x14ac:dyDescent="0.4">
      <c r="A37" s="105"/>
      <c r="B37" s="1" t="s">
        <v>67</v>
      </c>
      <c r="C37" s="43">
        <v>44879</v>
      </c>
      <c r="D37" s="47">
        <v>8230</v>
      </c>
      <c r="E37" s="5">
        <v>0.36</v>
      </c>
      <c r="F37" s="7">
        <v>41</v>
      </c>
      <c r="G37" s="7">
        <v>10</v>
      </c>
      <c r="H37" s="9">
        <v>54</v>
      </c>
      <c r="I37" s="9">
        <v>10</v>
      </c>
      <c r="J37" s="34">
        <v>537870</v>
      </c>
      <c r="K37" s="80">
        <v>3670000</v>
      </c>
      <c r="L37" s="35">
        <v>0.39</v>
      </c>
      <c r="M37" s="34">
        <f>J37+1942788</f>
        <v>2480658</v>
      </c>
      <c r="N37" s="34">
        <v>420685</v>
      </c>
      <c r="O37" s="34">
        <v>6042309</v>
      </c>
      <c r="P37" s="38">
        <f>M37+N37</f>
        <v>2901343</v>
      </c>
    </row>
    <row r="38" spans="1:16" ht="15" thickBot="1" x14ac:dyDescent="0.4">
      <c r="A38" s="105"/>
      <c r="B38" s="1" t="s">
        <v>68</v>
      </c>
      <c r="C38" s="43">
        <v>44886</v>
      </c>
      <c r="D38" s="47">
        <v>6518</v>
      </c>
      <c r="E38" s="5">
        <v>0.23</v>
      </c>
      <c r="F38" s="7">
        <v>44</v>
      </c>
      <c r="G38" s="7">
        <v>12</v>
      </c>
      <c r="H38" s="9">
        <v>54</v>
      </c>
      <c r="I38" s="9">
        <v>9</v>
      </c>
      <c r="J38" s="34">
        <v>719840</v>
      </c>
      <c r="K38" s="80">
        <v>3790000</v>
      </c>
      <c r="L38" s="35">
        <v>0.39</v>
      </c>
      <c r="M38" s="34">
        <f>902900+J38</f>
        <v>1622740</v>
      </c>
      <c r="N38" s="34">
        <v>1272735</v>
      </c>
      <c r="O38" s="34">
        <v>6042309</v>
      </c>
      <c r="P38" s="38">
        <f t="shared" ref="P38:P57" si="3">M38+N38</f>
        <v>2895475</v>
      </c>
    </row>
    <row r="39" spans="1:16" ht="15" thickBot="1" x14ac:dyDescent="0.4">
      <c r="A39" s="105"/>
      <c r="B39" s="1" t="s">
        <v>69</v>
      </c>
      <c r="C39" s="43">
        <v>44893</v>
      </c>
      <c r="D39" s="47"/>
      <c r="E39" s="5"/>
      <c r="F39" s="7">
        <v>44</v>
      </c>
      <c r="G39" s="7">
        <v>12</v>
      </c>
      <c r="H39" s="9">
        <v>53</v>
      </c>
      <c r="I39" s="9">
        <v>9</v>
      </c>
      <c r="J39" s="34">
        <v>1100000</v>
      </c>
      <c r="K39" s="80">
        <v>4170000</v>
      </c>
      <c r="L39" s="35">
        <v>0.36</v>
      </c>
      <c r="M39" s="34">
        <f>J39+778700</f>
        <v>1878700</v>
      </c>
      <c r="N39" s="34">
        <v>1482735</v>
      </c>
      <c r="O39" s="34">
        <v>6047645.4202898555</v>
      </c>
      <c r="P39" s="38">
        <f t="shared" si="3"/>
        <v>3361435</v>
      </c>
    </row>
    <row r="40" spans="1:16" ht="15" thickBot="1" x14ac:dyDescent="0.4">
      <c r="A40" s="105"/>
      <c r="B40" s="1" t="s">
        <v>70</v>
      </c>
      <c r="C40" s="43">
        <v>44900</v>
      </c>
      <c r="D40" s="47"/>
      <c r="E40" s="5"/>
      <c r="F40" s="70"/>
      <c r="G40" s="70"/>
      <c r="H40" s="70"/>
      <c r="I40" s="70"/>
      <c r="J40" s="34"/>
      <c r="K40" s="34"/>
      <c r="L40" s="35"/>
      <c r="M40" s="34">
        <f t="shared" ref="M40:M57" si="4">J40+0</f>
        <v>0</v>
      </c>
      <c r="N40" s="34"/>
      <c r="O40" s="34"/>
      <c r="P40" s="38">
        <f t="shared" si="3"/>
        <v>0</v>
      </c>
    </row>
    <row r="41" spans="1:16" ht="15" thickBot="1" x14ac:dyDescent="0.4">
      <c r="A41" s="105"/>
      <c r="B41" s="1" t="s">
        <v>71</v>
      </c>
      <c r="C41" s="43">
        <v>44907</v>
      </c>
      <c r="D41" s="47"/>
      <c r="E41" s="5"/>
      <c r="F41" s="70"/>
      <c r="G41" s="70"/>
      <c r="H41" s="70"/>
      <c r="I41" s="70"/>
      <c r="J41" s="34"/>
      <c r="K41" s="34"/>
      <c r="L41" s="35"/>
      <c r="M41" s="34">
        <f t="shared" si="4"/>
        <v>0</v>
      </c>
      <c r="N41" s="34"/>
      <c r="O41" s="34"/>
      <c r="P41" s="38">
        <f t="shared" si="3"/>
        <v>0</v>
      </c>
    </row>
    <row r="42" spans="1:16" ht="15" thickBot="1" x14ac:dyDescent="0.4">
      <c r="A42" s="105"/>
      <c r="B42" s="1" t="s">
        <v>72</v>
      </c>
      <c r="C42" s="43">
        <v>44914</v>
      </c>
      <c r="D42" s="47"/>
      <c r="E42" s="5"/>
      <c r="F42" s="70"/>
      <c r="G42" s="70"/>
      <c r="H42" s="70"/>
      <c r="I42" s="70"/>
      <c r="J42" s="34"/>
      <c r="K42" s="34"/>
      <c r="L42" s="35"/>
      <c r="M42" s="34">
        <f t="shared" si="4"/>
        <v>0</v>
      </c>
      <c r="N42" s="34"/>
      <c r="O42" s="34"/>
      <c r="P42" s="38">
        <f t="shared" si="3"/>
        <v>0</v>
      </c>
    </row>
    <row r="43" spans="1:16" ht="15" thickBot="1" x14ac:dyDescent="0.4">
      <c r="A43" s="106"/>
      <c r="B43" s="1" t="s">
        <v>73</v>
      </c>
      <c r="C43" s="43">
        <v>44921</v>
      </c>
      <c r="D43" s="48"/>
      <c r="E43" s="15"/>
      <c r="F43" s="71"/>
      <c r="G43" s="71"/>
      <c r="H43" s="71"/>
      <c r="I43" s="71"/>
      <c r="J43" s="50"/>
      <c r="K43" s="50"/>
      <c r="L43" s="51"/>
      <c r="M43" s="86">
        <f t="shared" si="4"/>
        <v>0</v>
      </c>
      <c r="N43" s="50"/>
      <c r="O43" s="50"/>
      <c r="P43" s="87">
        <f t="shared" si="3"/>
        <v>0</v>
      </c>
    </row>
    <row r="44" spans="1:16" ht="15" thickBot="1" x14ac:dyDescent="0.4">
      <c r="A44" s="101" t="s">
        <v>74</v>
      </c>
      <c r="B44" s="12" t="s">
        <v>75</v>
      </c>
      <c r="C44" s="53">
        <v>44928</v>
      </c>
      <c r="D44" s="44"/>
      <c r="E44" s="13"/>
      <c r="F44" s="69"/>
      <c r="G44" s="69"/>
      <c r="H44" s="69"/>
      <c r="I44" s="69"/>
      <c r="J44" s="36"/>
      <c r="K44" s="36"/>
      <c r="L44" s="37"/>
      <c r="M44" s="34">
        <f t="shared" si="4"/>
        <v>0</v>
      </c>
      <c r="N44" s="36"/>
      <c r="O44" s="36"/>
      <c r="P44" s="38">
        <f t="shared" si="3"/>
        <v>0</v>
      </c>
    </row>
    <row r="45" spans="1:16" ht="15" thickBot="1" x14ac:dyDescent="0.4">
      <c r="A45" s="102"/>
      <c r="B45" s="1" t="s">
        <v>76</v>
      </c>
      <c r="C45" s="43">
        <v>44935</v>
      </c>
      <c r="D45" s="47"/>
      <c r="E45" s="5"/>
      <c r="F45" s="70"/>
      <c r="G45" s="70"/>
      <c r="H45" s="70"/>
      <c r="I45" s="70"/>
      <c r="J45" s="34"/>
      <c r="K45" s="34"/>
      <c r="L45" s="35"/>
      <c r="M45" s="34">
        <f t="shared" si="4"/>
        <v>0</v>
      </c>
      <c r="N45" s="34"/>
      <c r="O45" s="34"/>
      <c r="P45" s="38">
        <f t="shared" si="3"/>
        <v>0</v>
      </c>
    </row>
    <row r="46" spans="1:16" ht="15" thickBot="1" x14ac:dyDescent="0.4">
      <c r="A46" s="102"/>
      <c r="B46" s="1" t="s">
        <v>77</v>
      </c>
      <c r="C46" s="43">
        <v>44942</v>
      </c>
      <c r="D46" s="47"/>
      <c r="E46" s="5"/>
      <c r="F46" s="70"/>
      <c r="G46" s="70"/>
      <c r="H46" s="70"/>
      <c r="I46" s="70"/>
      <c r="J46" s="34"/>
      <c r="K46" s="34"/>
      <c r="L46" s="35"/>
      <c r="M46" s="34">
        <f t="shared" si="4"/>
        <v>0</v>
      </c>
      <c r="N46" s="34"/>
      <c r="O46" s="34"/>
      <c r="P46" s="38">
        <f t="shared" si="3"/>
        <v>0</v>
      </c>
    </row>
    <row r="47" spans="1:16" ht="15" thickBot="1" x14ac:dyDescent="0.4">
      <c r="A47" s="102"/>
      <c r="B47" s="1" t="s">
        <v>78</v>
      </c>
      <c r="C47" s="43">
        <v>44949</v>
      </c>
      <c r="D47" s="47"/>
      <c r="E47" s="5"/>
      <c r="F47" s="70"/>
      <c r="G47" s="70"/>
      <c r="H47" s="70"/>
      <c r="I47" s="70"/>
      <c r="J47" s="34"/>
      <c r="K47" s="34"/>
      <c r="L47" s="35"/>
      <c r="M47" s="34">
        <f t="shared" si="4"/>
        <v>0</v>
      </c>
      <c r="N47" s="34"/>
      <c r="O47" s="34"/>
      <c r="P47" s="38">
        <f t="shared" si="3"/>
        <v>0</v>
      </c>
    </row>
    <row r="48" spans="1:16" ht="15" thickBot="1" x14ac:dyDescent="0.4">
      <c r="A48" s="102"/>
      <c r="B48" s="1" t="s">
        <v>79</v>
      </c>
      <c r="C48" s="43">
        <v>44956</v>
      </c>
      <c r="D48" s="47"/>
      <c r="E48" s="5"/>
      <c r="F48" s="70"/>
      <c r="G48" s="70"/>
      <c r="H48" s="70"/>
      <c r="I48" s="70"/>
      <c r="J48" s="34"/>
      <c r="K48" s="34"/>
      <c r="L48" s="35"/>
      <c r="M48" s="34">
        <f t="shared" si="4"/>
        <v>0</v>
      </c>
      <c r="N48" s="34"/>
      <c r="O48" s="34"/>
      <c r="P48" s="38">
        <f t="shared" si="3"/>
        <v>0</v>
      </c>
    </row>
    <row r="49" spans="1:16" ht="15" thickBot="1" x14ac:dyDescent="0.4">
      <c r="A49" s="102"/>
      <c r="B49" s="1" t="s">
        <v>80</v>
      </c>
      <c r="C49" s="43">
        <v>44963</v>
      </c>
      <c r="D49" s="47"/>
      <c r="E49" s="5"/>
      <c r="F49" s="70"/>
      <c r="G49" s="70"/>
      <c r="H49" s="70"/>
      <c r="I49" s="70"/>
      <c r="J49" s="34"/>
      <c r="K49" s="34"/>
      <c r="L49" s="35"/>
      <c r="M49" s="34">
        <f t="shared" si="4"/>
        <v>0</v>
      </c>
      <c r="N49" s="34"/>
      <c r="O49" s="34"/>
      <c r="P49" s="38">
        <f t="shared" si="3"/>
        <v>0</v>
      </c>
    </row>
    <row r="50" spans="1:16" ht="15" thickBot="1" x14ac:dyDescent="0.4">
      <c r="A50" s="102"/>
      <c r="B50" s="1" t="s">
        <v>81</v>
      </c>
      <c r="C50" s="43">
        <v>44970</v>
      </c>
      <c r="D50" s="47"/>
      <c r="E50" s="5"/>
      <c r="F50" s="70"/>
      <c r="G50" s="70"/>
      <c r="H50" s="70"/>
      <c r="I50" s="70"/>
      <c r="J50" s="34"/>
      <c r="K50" s="34"/>
      <c r="L50" s="35"/>
      <c r="M50" s="34">
        <f t="shared" si="4"/>
        <v>0</v>
      </c>
      <c r="N50" s="34"/>
      <c r="O50" s="34"/>
      <c r="P50" s="38">
        <f t="shared" si="3"/>
        <v>0</v>
      </c>
    </row>
    <row r="51" spans="1:16" ht="15" thickBot="1" x14ac:dyDescent="0.4">
      <c r="A51" s="102"/>
      <c r="B51" s="1" t="s">
        <v>82</v>
      </c>
      <c r="C51" s="43">
        <v>44977</v>
      </c>
      <c r="D51" s="47"/>
      <c r="E51" s="5"/>
      <c r="F51" s="70"/>
      <c r="G51" s="70"/>
      <c r="H51" s="70"/>
      <c r="I51" s="70"/>
      <c r="J51" s="34"/>
      <c r="K51" s="34"/>
      <c r="L51" s="35"/>
      <c r="M51" s="34">
        <f t="shared" si="4"/>
        <v>0</v>
      </c>
      <c r="N51" s="34"/>
      <c r="O51" s="34"/>
      <c r="P51" s="38">
        <f t="shared" si="3"/>
        <v>0</v>
      </c>
    </row>
    <row r="52" spans="1:16" ht="15" thickBot="1" x14ac:dyDescent="0.4">
      <c r="A52" s="102"/>
      <c r="B52" s="1" t="s">
        <v>83</v>
      </c>
      <c r="C52" s="43">
        <v>44984</v>
      </c>
      <c r="D52" s="47"/>
      <c r="E52" s="5"/>
      <c r="F52" s="70"/>
      <c r="G52" s="70"/>
      <c r="H52" s="70"/>
      <c r="I52" s="70"/>
      <c r="J52" s="34"/>
      <c r="K52" s="34"/>
      <c r="L52" s="35"/>
      <c r="M52" s="34">
        <f t="shared" si="4"/>
        <v>0</v>
      </c>
      <c r="N52" s="34"/>
      <c r="O52" s="34"/>
      <c r="P52" s="38">
        <f t="shared" si="3"/>
        <v>0</v>
      </c>
    </row>
    <row r="53" spans="1:16" ht="15" thickBot="1" x14ac:dyDescent="0.4">
      <c r="A53" s="102"/>
      <c r="B53" s="1" t="s">
        <v>84</v>
      </c>
      <c r="C53" s="43">
        <v>44991</v>
      </c>
      <c r="D53" s="47"/>
      <c r="E53" s="5"/>
      <c r="F53" s="70"/>
      <c r="G53" s="70"/>
      <c r="H53" s="70"/>
      <c r="I53" s="70"/>
      <c r="J53" s="34"/>
      <c r="K53" s="34"/>
      <c r="L53" s="35"/>
      <c r="M53" s="34">
        <f t="shared" si="4"/>
        <v>0</v>
      </c>
      <c r="N53" s="34"/>
      <c r="O53" s="34"/>
      <c r="P53" s="38">
        <f t="shared" si="3"/>
        <v>0</v>
      </c>
    </row>
    <row r="54" spans="1:16" ht="15" thickBot="1" x14ac:dyDescent="0.4">
      <c r="A54" s="102"/>
      <c r="B54" s="1" t="s">
        <v>85</v>
      </c>
      <c r="C54" s="43">
        <v>44998</v>
      </c>
      <c r="D54" s="47"/>
      <c r="E54" s="5"/>
      <c r="F54" s="70"/>
      <c r="G54" s="70"/>
      <c r="H54" s="70"/>
      <c r="I54" s="70"/>
      <c r="J54" s="34"/>
      <c r="K54" s="34"/>
      <c r="L54" s="35"/>
      <c r="M54" s="34">
        <f t="shared" si="4"/>
        <v>0</v>
      </c>
      <c r="N54" s="34"/>
      <c r="O54" s="34"/>
      <c r="P54" s="38">
        <f t="shared" si="3"/>
        <v>0</v>
      </c>
    </row>
    <row r="55" spans="1:16" ht="15" thickBot="1" x14ac:dyDescent="0.4">
      <c r="A55" s="102"/>
      <c r="B55" s="1" t="s">
        <v>86</v>
      </c>
      <c r="C55" s="43">
        <v>45005</v>
      </c>
      <c r="D55" s="47"/>
      <c r="E55" s="5"/>
      <c r="F55" s="70"/>
      <c r="G55" s="70"/>
      <c r="H55" s="70"/>
      <c r="I55" s="70"/>
      <c r="J55" s="34"/>
      <c r="K55" s="34"/>
      <c r="L55" s="35"/>
      <c r="M55" s="34">
        <f t="shared" si="4"/>
        <v>0</v>
      </c>
      <c r="N55" s="34"/>
      <c r="O55" s="34"/>
      <c r="P55" s="38">
        <f t="shared" si="3"/>
        <v>0</v>
      </c>
    </row>
    <row r="56" spans="1:16" ht="15" thickBot="1" x14ac:dyDescent="0.4">
      <c r="A56" s="102"/>
      <c r="B56" s="1" t="s">
        <v>87</v>
      </c>
      <c r="C56" s="43">
        <v>45012</v>
      </c>
      <c r="D56" s="47"/>
      <c r="E56" s="5"/>
      <c r="F56" s="70"/>
      <c r="G56" s="70"/>
      <c r="H56" s="70"/>
      <c r="I56" s="70"/>
      <c r="J56" s="34"/>
      <c r="K56" s="34"/>
      <c r="L56" s="35"/>
      <c r="M56" s="34">
        <f t="shared" si="4"/>
        <v>0</v>
      </c>
      <c r="N56" s="34"/>
      <c r="O56" s="34"/>
      <c r="P56" s="38">
        <f t="shared" si="3"/>
        <v>0</v>
      </c>
    </row>
    <row r="57" spans="1:16" ht="15" thickBot="1" x14ac:dyDescent="0.4">
      <c r="A57" s="103"/>
      <c r="B57" s="14" t="s">
        <v>88</v>
      </c>
      <c r="C57" s="54">
        <v>45019</v>
      </c>
      <c r="D57" s="48"/>
      <c r="E57" s="15"/>
      <c r="F57" s="71"/>
      <c r="G57" s="71"/>
      <c r="H57" s="71"/>
      <c r="I57" s="71"/>
      <c r="J57" s="50"/>
      <c r="K57" s="50"/>
      <c r="L57" s="51"/>
      <c r="M57" s="86">
        <f t="shared" si="4"/>
        <v>0</v>
      </c>
      <c r="N57" s="50"/>
      <c r="O57" s="50"/>
      <c r="P57" s="87">
        <f t="shared" si="3"/>
        <v>0</v>
      </c>
    </row>
  </sheetData>
  <mergeCells count="19">
    <mergeCell ref="A44:A57"/>
    <mergeCell ref="A31:A43"/>
    <mergeCell ref="A18:A30"/>
    <mergeCell ref="A5:A17"/>
    <mergeCell ref="A3:C4"/>
    <mergeCell ref="G3:G4"/>
    <mergeCell ref="H3:H4"/>
    <mergeCell ref="I3:I4"/>
    <mergeCell ref="A1:C2"/>
    <mergeCell ref="P3:P4"/>
    <mergeCell ref="J3:J4"/>
    <mergeCell ref="K3:K4"/>
    <mergeCell ref="L3:L4"/>
    <mergeCell ref="M3:M4"/>
    <mergeCell ref="N3:N4"/>
    <mergeCell ref="O3:O4"/>
    <mergeCell ref="D3:D4"/>
    <mergeCell ref="E3:E4"/>
    <mergeCell ref="F3:F4"/>
  </mergeCells>
  <phoneticPr fontId="3" type="noConversion"/>
  <conditionalFormatting sqref="D5:D57">
    <cfRule type="expression" dxfId="21" priority="4">
      <formula>$D5&gt;=($D$2*0.8)</formula>
    </cfRule>
    <cfRule type="expression" dxfId="20" priority="5">
      <formula>AND($D5&lt;=($D$2*0.5),$D5&lt;&gt;0)</formula>
    </cfRule>
    <cfRule type="expression" dxfId="19" priority="6">
      <formula>AND($D5&gt;($D$2*0.5),$D5&lt;($D$2*0.8))</formula>
    </cfRule>
  </conditionalFormatting>
  <conditionalFormatting sqref="E5:E57">
    <cfRule type="expression" dxfId="18" priority="1">
      <formula>AND($E5&gt;($E$2*0.5),$E5&lt;($E$2*0.8))</formula>
    </cfRule>
    <cfRule type="expression" dxfId="17" priority="2">
      <formula>AND($E5&lt;=($E$2*0.5),$E5&lt;&gt;0)</formula>
    </cfRule>
    <cfRule type="expression" dxfId="16" priority="3">
      <formula>$E5&gt;=($E$2*0.8)</formula>
    </cfRule>
  </conditionalFormatting>
  <conditionalFormatting sqref="J5:J57">
    <cfRule type="expression" dxfId="15" priority="22">
      <formula>AND(J5&gt;(J$2*0.5),J5&lt;(J$2*0.8))</formula>
    </cfRule>
    <cfRule type="expression" dxfId="14" priority="23">
      <formula>AND(J5&lt;=(J$2*0.5),J5&lt;&gt;0)</formula>
    </cfRule>
    <cfRule type="expression" dxfId="13" priority="24">
      <formula>J5&gt;=(J$2*0.8)</formula>
    </cfRule>
  </conditionalFormatting>
  <conditionalFormatting sqref="L5:L57">
    <cfRule type="expression" dxfId="12" priority="19">
      <formula>AND(L5&gt;0.3,L5&lt;0.6)</formula>
    </cfRule>
    <cfRule type="expression" dxfId="11" priority="20">
      <formula>AND(L5&lt;=0.3,L5&lt;&gt;0)</formula>
    </cfRule>
    <cfRule type="expression" dxfId="10" priority="21">
      <formula>L5&gt;=0.6</formula>
    </cfRule>
  </conditionalFormatting>
  <conditionalFormatting sqref="M5:P57">
    <cfRule type="expression" dxfId="9" priority="7">
      <formula>AND(M5&gt;(M$2*0.5),M5&lt;(M$2*0.8))</formula>
    </cfRule>
    <cfRule type="expression" dxfId="8" priority="8">
      <formula>AND(M5&lt;=(M$2*0.5),M5&lt;&gt;0)</formula>
    </cfRule>
    <cfRule type="expression" dxfId="7" priority="9">
      <formula>M5&gt;=(M$2*0.8)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CA48-A9EB-4F0A-90DF-27C60409A325}">
  <sheetPr>
    <tabColor theme="4"/>
  </sheetPr>
  <dimension ref="A1:F17"/>
  <sheetViews>
    <sheetView showGridLines="0" workbookViewId="0">
      <pane xSplit="3" ySplit="4" topLeftCell="D5" activePane="bottomRight" state="frozen"/>
      <selection pane="topRight" activeCell="F16" sqref="F16"/>
      <selection pane="bottomLeft" activeCell="F16" sqref="F16"/>
      <selection pane="bottomRight" activeCell="E9" sqref="E9"/>
    </sheetView>
  </sheetViews>
  <sheetFormatPr defaultRowHeight="14.5" x14ac:dyDescent="0.35"/>
  <cols>
    <col min="2" max="2" width="9" hidden="1" customWidth="1"/>
    <col min="3" max="3" width="10.453125" style="1" bestFit="1" customWidth="1"/>
    <col min="4" max="6" width="25.90625" customWidth="1"/>
  </cols>
  <sheetData>
    <row r="1" spans="1:6" x14ac:dyDescent="0.35">
      <c r="A1" s="95" t="s">
        <v>23</v>
      </c>
      <c r="B1" s="96"/>
      <c r="C1" s="97"/>
      <c r="D1" s="3" t="s">
        <v>89</v>
      </c>
      <c r="E1" s="3" t="s">
        <v>9</v>
      </c>
      <c r="F1" s="3" t="s">
        <v>9</v>
      </c>
    </row>
    <row r="2" spans="1:6" ht="15" thickBot="1" x14ac:dyDescent="0.4">
      <c r="A2" s="114"/>
      <c r="B2" s="115"/>
      <c r="C2" s="116"/>
      <c r="D2" s="60">
        <v>2</v>
      </c>
      <c r="E2" s="61">
        <v>12800000</v>
      </c>
      <c r="F2" s="61">
        <v>5800000</v>
      </c>
    </row>
    <row r="3" spans="1:6" s="1" customFormat="1" ht="38.5" customHeight="1" x14ac:dyDescent="0.35">
      <c r="A3" s="117" t="s">
        <v>90</v>
      </c>
      <c r="B3" s="118"/>
      <c r="C3" s="119"/>
      <c r="D3" s="123" t="s">
        <v>119</v>
      </c>
      <c r="E3" s="125" t="s">
        <v>91</v>
      </c>
      <c r="F3" s="112" t="s">
        <v>92</v>
      </c>
    </row>
    <row r="4" spans="1:6" ht="38.5" customHeight="1" thickBot="1" x14ac:dyDescent="0.4">
      <c r="A4" s="120"/>
      <c r="B4" s="121"/>
      <c r="C4" s="122"/>
      <c r="D4" s="124"/>
      <c r="E4" s="126"/>
      <c r="F4" s="113"/>
    </row>
    <row r="5" spans="1:6" ht="14.5" customHeight="1" thickBot="1" x14ac:dyDescent="0.4">
      <c r="A5" s="101" t="s">
        <v>93</v>
      </c>
      <c r="B5" s="12" t="s">
        <v>32</v>
      </c>
      <c r="C5" s="55" t="s">
        <v>11</v>
      </c>
      <c r="D5" s="65">
        <v>0</v>
      </c>
      <c r="E5" s="62">
        <v>6453300</v>
      </c>
      <c r="F5" s="62">
        <v>693707</v>
      </c>
    </row>
    <row r="6" spans="1:6" ht="15" thickBot="1" x14ac:dyDescent="0.4">
      <c r="A6" s="102"/>
      <c r="B6" s="1" t="s">
        <v>33</v>
      </c>
      <c r="C6" s="56" t="s">
        <v>12</v>
      </c>
      <c r="D6" s="66">
        <v>0</v>
      </c>
      <c r="E6" s="63">
        <v>2781275</v>
      </c>
      <c r="F6" s="63">
        <v>1230000</v>
      </c>
    </row>
    <row r="7" spans="1:6" ht="15" thickBot="1" x14ac:dyDescent="0.4">
      <c r="A7" s="102"/>
      <c r="B7" s="1" t="s">
        <v>34</v>
      </c>
      <c r="C7" s="56" t="s">
        <v>13</v>
      </c>
      <c r="D7" s="66">
        <v>0</v>
      </c>
      <c r="E7" s="63">
        <v>24312777</v>
      </c>
      <c r="F7" s="63">
        <v>1610000</v>
      </c>
    </row>
    <row r="8" spans="1:6" ht="15" thickBot="1" x14ac:dyDescent="0.4">
      <c r="A8" s="102"/>
      <c r="B8" s="1" t="s">
        <v>36</v>
      </c>
      <c r="C8" s="56" t="s">
        <v>14</v>
      </c>
      <c r="D8" s="66">
        <v>0</v>
      </c>
      <c r="E8" s="63">
        <v>15944662</v>
      </c>
      <c r="F8" s="63">
        <v>1840000</v>
      </c>
    </row>
    <row r="9" spans="1:6" ht="15" thickBot="1" x14ac:dyDescent="0.4">
      <c r="A9" s="102"/>
      <c r="B9" s="1" t="s">
        <v>37</v>
      </c>
      <c r="C9" s="56" t="s">
        <v>15</v>
      </c>
      <c r="D9" s="66">
        <v>0</v>
      </c>
      <c r="E9" s="63">
        <v>18838542</v>
      </c>
      <c r="F9" s="63">
        <v>2210000</v>
      </c>
    </row>
    <row r="10" spans="1:6" ht="15" thickBot="1" x14ac:dyDescent="0.4">
      <c r="A10" s="102"/>
      <c r="B10" s="1" t="s">
        <v>38</v>
      </c>
      <c r="C10" s="56" t="s">
        <v>16</v>
      </c>
      <c r="D10" s="66">
        <v>0</v>
      </c>
      <c r="E10" s="63">
        <v>18667052</v>
      </c>
      <c r="F10" s="63">
        <v>3058968</v>
      </c>
    </row>
    <row r="11" spans="1:6" ht="15" thickBot="1" x14ac:dyDescent="0.4">
      <c r="A11" s="102"/>
      <c r="B11" s="1" t="s">
        <v>39</v>
      </c>
      <c r="C11" s="56" t="s">
        <v>17</v>
      </c>
      <c r="D11" s="66">
        <v>0</v>
      </c>
      <c r="E11" s="63">
        <v>19233128</v>
      </c>
      <c r="F11" s="63">
        <v>5585597</v>
      </c>
    </row>
    <row r="12" spans="1:6" ht="15" thickBot="1" x14ac:dyDescent="0.4">
      <c r="A12" s="102"/>
      <c r="B12" s="1" t="s">
        <v>40</v>
      </c>
      <c r="C12" s="56" t="s">
        <v>18</v>
      </c>
      <c r="D12" s="58"/>
      <c r="E12" s="63">
        <v>21395490</v>
      </c>
      <c r="F12" s="63">
        <v>6047645.4202898555</v>
      </c>
    </row>
    <row r="13" spans="1:6" ht="15" thickBot="1" x14ac:dyDescent="0.4">
      <c r="A13" s="102"/>
      <c r="B13" s="1" t="s">
        <v>41</v>
      </c>
      <c r="C13" s="56" t="s">
        <v>19</v>
      </c>
      <c r="D13" s="58"/>
      <c r="E13" s="63"/>
      <c r="F13" s="63"/>
    </row>
    <row r="14" spans="1:6" ht="15" thickBot="1" x14ac:dyDescent="0.4">
      <c r="A14" s="102"/>
      <c r="B14" s="1" t="s">
        <v>42</v>
      </c>
      <c r="C14" s="56" t="s">
        <v>20</v>
      </c>
      <c r="D14" s="58"/>
      <c r="E14" s="63"/>
      <c r="F14" s="63"/>
    </row>
    <row r="15" spans="1:6" ht="15" thickBot="1" x14ac:dyDescent="0.4">
      <c r="A15" s="102"/>
      <c r="B15" s="1" t="s">
        <v>43</v>
      </c>
      <c r="C15" s="56" t="s">
        <v>21</v>
      </c>
      <c r="D15" s="58"/>
      <c r="E15" s="63"/>
      <c r="F15" s="63"/>
    </row>
    <row r="16" spans="1:6" ht="15" thickBot="1" x14ac:dyDescent="0.4">
      <c r="A16" s="102"/>
      <c r="B16" s="1" t="s">
        <v>44</v>
      </c>
      <c r="C16" s="56" t="s">
        <v>22</v>
      </c>
      <c r="D16" s="58"/>
      <c r="E16" s="63"/>
      <c r="F16" s="63"/>
    </row>
    <row r="17" spans="1:6" ht="15" thickBot="1" x14ac:dyDescent="0.4">
      <c r="A17" s="103"/>
      <c r="B17" s="14" t="s">
        <v>45</v>
      </c>
      <c r="C17" s="57" t="s">
        <v>11</v>
      </c>
      <c r="D17" s="59"/>
      <c r="E17" s="64"/>
      <c r="F17" s="64"/>
    </row>
  </sheetData>
  <mergeCells count="6">
    <mergeCell ref="A5:A17"/>
    <mergeCell ref="F3:F4"/>
    <mergeCell ref="A1:C2"/>
    <mergeCell ref="A3:C4"/>
    <mergeCell ref="D3:D4"/>
    <mergeCell ref="E3:E4"/>
  </mergeCells>
  <phoneticPr fontId="3" type="noConversion"/>
  <conditionalFormatting sqref="D5:D17">
    <cfRule type="expression" dxfId="6" priority="8">
      <formula>AND(D5&gt;(D$2*0.5),D5&lt;(D$2*0.8))</formula>
    </cfRule>
    <cfRule type="expression" dxfId="5" priority="9">
      <formula>D5&gt;=(D$2*0.8)</formula>
    </cfRule>
  </conditionalFormatting>
  <conditionalFormatting sqref="D5:E17">
    <cfRule type="expression" dxfId="4" priority="6">
      <formula>AND(D5&lt;=(D$2*0.5),D5&lt;&gt;0)</formula>
    </cfRule>
  </conditionalFormatting>
  <conditionalFormatting sqref="E5:E17">
    <cfRule type="expression" dxfId="3" priority="5">
      <formula>AND(E5&gt;(E$2*0.5),E5&lt;(E$2*0.8))</formula>
    </cfRule>
  </conditionalFormatting>
  <conditionalFormatting sqref="E5:F17">
    <cfRule type="expression" dxfId="2" priority="3">
      <formula>E5&gt;=(E$2*0.8)</formula>
    </cfRule>
  </conditionalFormatting>
  <conditionalFormatting sqref="F5:F17">
    <cfRule type="expression" dxfId="1" priority="1">
      <formula>AND(F5&lt;=(F$2*0.5),F5&lt;&gt;0)</formula>
    </cfRule>
    <cfRule type="expression" dxfId="0" priority="2">
      <formula>AND(F5&gt;(F$2*0.5),F5&lt;(F$2*0.8))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2B15-ECFD-490E-9D31-1888A60B1438}">
  <sheetPr>
    <tabColor theme="4"/>
  </sheetPr>
  <dimension ref="A1:N54"/>
  <sheetViews>
    <sheetView topLeftCell="A19" workbookViewId="0">
      <selection activeCell="C43" sqref="C43"/>
    </sheetView>
  </sheetViews>
  <sheetFormatPr defaultRowHeight="14.5" x14ac:dyDescent="0.35"/>
  <cols>
    <col min="1" max="1" width="23.26953125" customWidth="1"/>
    <col min="2" max="2" width="55.36328125" customWidth="1"/>
    <col min="3" max="3" width="36.453125" customWidth="1"/>
    <col min="4" max="4" width="30.453125" customWidth="1"/>
    <col min="5" max="5" width="57.08984375" customWidth="1"/>
    <col min="6" max="6" width="31.36328125" customWidth="1"/>
    <col min="7" max="7" width="29.36328125" customWidth="1"/>
    <col min="8" max="8" width="38.36328125" customWidth="1"/>
    <col min="9" max="9" width="45.453125" customWidth="1"/>
    <col min="10" max="10" width="57.08984375" customWidth="1"/>
    <col min="11" max="11" width="36.453125" customWidth="1"/>
    <col min="12" max="12" width="34.6328125" customWidth="1"/>
    <col min="13" max="13" width="30.08984375" customWidth="1"/>
    <col min="14" max="14" width="39.36328125" customWidth="1"/>
  </cols>
  <sheetData>
    <row r="1" spans="1:14" x14ac:dyDescent="0.35">
      <c r="A1" t="s">
        <v>94</v>
      </c>
      <c r="B1" t="s">
        <v>26</v>
      </c>
      <c r="C1" t="s">
        <v>95</v>
      </c>
      <c r="D1" t="s">
        <v>1</v>
      </c>
      <c r="E1" t="s">
        <v>2</v>
      </c>
      <c r="F1" t="s">
        <v>3</v>
      </c>
      <c r="G1" t="s">
        <v>4</v>
      </c>
      <c r="H1" t="s">
        <v>28</v>
      </c>
      <c r="I1" t="s">
        <v>8</v>
      </c>
      <c r="J1" t="s">
        <v>5</v>
      </c>
      <c r="K1" t="s">
        <v>29</v>
      </c>
      <c r="L1" t="s">
        <v>30</v>
      </c>
      <c r="M1" t="s">
        <v>6</v>
      </c>
      <c r="N1" t="s">
        <v>7</v>
      </c>
    </row>
    <row r="2" spans="1:14" x14ac:dyDescent="0.35">
      <c r="A2" s="18">
        <f>'Weekly Scorecard'!C5</f>
        <v>44655</v>
      </c>
      <c r="B2" s="19">
        <f>'Weekly Scorecard'!D5</f>
        <v>3192</v>
      </c>
      <c r="C2" s="20">
        <f>'Weekly Scorecard'!E5</f>
        <v>0.47</v>
      </c>
      <c r="D2" s="19">
        <f>'Weekly Scorecard'!F5</f>
        <v>4</v>
      </c>
      <c r="E2" s="19">
        <f>'Weekly Scorecard'!G5</f>
        <v>0</v>
      </c>
      <c r="F2" s="19">
        <f>'Weekly Scorecard'!H5</f>
        <v>38</v>
      </c>
      <c r="G2" s="19">
        <f>'Weekly Scorecard'!I5</f>
        <v>0</v>
      </c>
      <c r="H2" s="21">
        <f>'Weekly Scorecard'!J5</f>
        <v>24800</v>
      </c>
      <c r="I2" s="21">
        <f>'Weekly Scorecard'!K5</f>
        <v>24800</v>
      </c>
      <c r="J2" s="20">
        <f>'Weekly Scorecard'!L5</f>
        <v>0.25</v>
      </c>
      <c r="K2" s="21">
        <f>'Weekly Scorecard'!M5</f>
        <v>1308785</v>
      </c>
      <c r="L2" s="21">
        <f>'Weekly Scorecard'!N5</f>
        <v>56700</v>
      </c>
      <c r="M2" s="21">
        <f>'Weekly Scorecard'!O5</f>
        <v>0</v>
      </c>
      <c r="N2" s="21">
        <f>'Weekly Scorecard'!P5</f>
        <v>1365485</v>
      </c>
    </row>
    <row r="3" spans="1:14" x14ac:dyDescent="0.35">
      <c r="A3" s="18">
        <f>'Weekly Scorecard'!C6</f>
        <v>44662</v>
      </c>
      <c r="B3" s="19">
        <f>'Weekly Scorecard'!D6</f>
        <v>753</v>
      </c>
      <c r="C3" s="20">
        <f>'Weekly Scorecard'!E6</f>
        <v>0.18</v>
      </c>
      <c r="D3" s="19">
        <f>'Weekly Scorecard'!F6</f>
        <v>7</v>
      </c>
      <c r="E3" s="19">
        <f>'Weekly Scorecard'!G6</f>
        <v>0</v>
      </c>
      <c r="F3" s="19">
        <f>'Weekly Scorecard'!H6</f>
        <v>38</v>
      </c>
      <c r="G3" s="19">
        <f>'Weekly Scorecard'!I6</f>
        <v>0</v>
      </c>
      <c r="H3" s="21">
        <f>'Weekly Scorecard'!J6</f>
        <v>24800</v>
      </c>
      <c r="I3" s="21">
        <f>'Weekly Scorecard'!K6</f>
        <v>24800</v>
      </c>
      <c r="J3" s="20">
        <f>'Weekly Scorecard'!L6</f>
        <v>1</v>
      </c>
      <c r="K3" s="21">
        <f>'Weekly Scorecard'!M6</f>
        <v>1308785</v>
      </c>
      <c r="L3" s="21">
        <f>'Weekly Scorecard'!N6</f>
        <v>56700</v>
      </c>
      <c r="M3" s="21">
        <f>'Weekly Scorecard'!O6</f>
        <v>0</v>
      </c>
      <c r="N3" s="21">
        <f>'Weekly Scorecard'!P6</f>
        <v>1365485</v>
      </c>
    </row>
    <row r="4" spans="1:14" x14ac:dyDescent="0.35">
      <c r="A4" s="18">
        <f>'Weekly Scorecard'!C7</f>
        <v>44669</v>
      </c>
      <c r="B4" s="19">
        <f>'Weekly Scorecard'!D7</f>
        <v>1292</v>
      </c>
      <c r="C4" s="20">
        <f>'Weekly Scorecard'!E7</f>
        <v>0.34</v>
      </c>
      <c r="D4" s="19">
        <f>'Weekly Scorecard'!F7</f>
        <v>7</v>
      </c>
      <c r="E4" s="19">
        <f>'Weekly Scorecard'!G7</f>
        <v>0</v>
      </c>
      <c r="F4" s="19">
        <f>'Weekly Scorecard'!H7</f>
        <v>38</v>
      </c>
      <c r="G4" s="19">
        <f>'Weekly Scorecard'!I7</f>
        <v>0</v>
      </c>
      <c r="H4" s="21">
        <f>'Weekly Scorecard'!J7</f>
        <v>174800</v>
      </c>
      <c r="I4" s="21">
        <f>'Weekly Scorecard'!K7</f>
        <v>174800</v>
      </c>
      <c r="J4" s="20" t="str">
        <f>'Weekly Scorecard'!L7</f>
        <v>-</v>
      </c>
      <c r="K4" s="21">
        <f>'Weekly Scorecard'!M7</f>
        <v>1443225</v>
      </c>
      <c r="L4" s="21">
        <f>'Weekly Scorecard'!N7</f>
        <v>56700</v>
      </c>
      <c r="M4" s="21">
        <f>'Weekly Scorecard'!O7</f>
        <v>2226827</v>
      </c>
      <c r="N4" s="21">
        <f>'Weekly Scorecard'!P7</f>
        <v>1325125</v>
      </c>
    </row>
    <row r="5" spans="1:14" x14ac:dyDescent="0.35">
      <c r="A5" s="18">
        <f>'Weekly Scorecard'!C8</f>
        <v>44676</v>
      </c>
      <c r="B5" s="19">
        <f>'Weekly Scorecard'!D8</f>
        <v>1429</v>
      </c>
      <c r="C5" s="20">
        <f>'Weekly Scorecard'!E8</f>
        <v>0.38</v>
      </c>
      <c r="D5" s="19">
        <f>'Weekly Scorecard'!F8</f>
        <v>10</v>
      </c>
      <c r="E5" s="19">
        <f>'Weekly Scorecard'!G8</f>
        <v>1</v>
      </c>
      <c r="F5" s="19">
        <f>'Weekly Scorecard'!H8</f>
        <v>41</v>
      </c>
      <c r="G5" s="19">
        <f>'Weekly Scorecard'!I8</f>
        <v>0</v>
      </c>
      <c r="H5" s="21">
        <f>'Weekly Scorecard'!J8</f>
        <v>209700</v>
      </c>
      <c r="I5" s="21">
        <f>'Weekly Scorecard'!K8</f>
        <v>209700</v>
      </c>
      <c r="J5" s="20">
        <f>'Weekly Scorecard'!L8</f>
        <v>0.72</v>
      </c>
      <c r="K5" s="21">
        <f>'Weekly Scorecard'!M8</f>
        <v>1518890</v>
      </c>
      <c r="L5" s="21">
        <f>'Weekly Scorecard'!N8</f>
        <v>249200</v>
      </c>
      <c r="M5" s="21">
        <f>'Weekly Scorecard'!O8</f>
        <v>2235296</v>
      </c>
      <c r="N5" s="21">
        <f>'Weekly Scorecard'!P8</f>
        <v>1558390</v>
      </c>
    </row>
    <row r="6" spans="1:14" x14ac:dyDescent="0.35">
      <c r="A6" s="18">
        <f>'Weekly Scorecard'!C9</f>
        <v>44683</v>
      </c>
      <c r="B6" s="19">
        <f>'Weekly Scorecard'!D9</f>
        <v>2132</v>
      </c>
      <c r="C6" s="20">
        <f>'Weekly Scorecard'!E9</f>
        <v>0.33</v>
      </c>
      <c r="D6" s="19">
        <f>'Weekly Scorecard'!F9</f>
        <v>11</v>
      </c>
      <c r="E6" s="19">
        <f>'Weekly Scorecard'!G9</f>
        <v>2</v>
      </c>
      <c r="F6" s="19">
        <f>'Weekly Scorecard'!H9</f>
        <v>40</v>
      </c>
      <c r="G6" s="19">
        <f>'Weekly Scorecard'!I9</f>
        <v>0</v>
      </c>
      <c r="H6" s="21">
        <f>'Weekly Scorecard'!J9</f>
        <v>331300</v>
      </c>
      <c r="I6" s="21">
        <f>'Weekly Scorecard'!K9</f>
        <v>331300</v>
      </c>
      <c r="J6" s="20">
        <f>'Weekly Scorecard'!L9</f>
        <v>0.45</v>
      </c>
      <c r="K6" s="21">
        <f>'Weekly Scorecard'!M9</f>
        <v>1551165</v>
      </c>
      <c r="L6" s="21">
        <f>'Weekly Scorecard'!N9</f>
        <v>467950</v>
      </c>
      <c r="M6" s="21">
        <f>'Weekly Scorecard'!O9</f>
        <v>2524896.2000000002</v>
      </c>
      <c r="N6" s="21">
        <f>'Weekly Scorecard'!P9</f>
        <v>1687815</v>
      </c>
    </row>
    <row r="7" spans="1:14" x14ac:dyDescent="0.35">
      <c r="A7" s="18">
        <f>'Weekly Scorecard'!C10</f>
        <v>44690</v>
      </c>
      <c r="B7" s="19">
        <f>'Weekly Scorecard'!D10</f>
        <v>1635</v>
      </c>
      <c r="C7" s="20">
        <f>'Weekly Scorecard'!E10</f>
        <v>0.22</v>
      </c>
      <c r="D7" s="19">
        <f>'Weekly Scorecard'!F10</f>
        <v>13</v>
      </c>
      <c r="E7" s="19">
        <f>'Weekly Scorecard'!G10</f>
        <v>3</v>
      </c>
      <c r="F7" s="19">
        <f>'Weekly Scorecard'!H10</f>
        <v>42</v>
      </c>
      <c r="G7" s="19">
        <f>'Weekly Scorecard'!I10</f>
        <v>0</v>
      </c>
      <c r="H7" s="21">
        <f>'Weekly Scorecard'!J10</f>
        <v>351300</v>
      </c>
      <c r="I7" s="21">
        <f>'Weekly Scorecard'!K10</f>
        <v>351300</v>
      </c>
      <c r="J7" s="20">
        <f>'Weekly Scorecard'!L10</f>
        <v>0.42</v>
      </c>
      <c r="K7" s="21">
        <f>'Weekly Scorecard'!M10</f>
        <v>1608545</v>
      </c>
      <c r="L7" s="21">
        <f>'Weekly Scorecard'!N10</f>
        <v>498120</v>
      </c>
      <c r="M7" s="21">
        <f>'Weekly Scorecard'!O10</f>
        <v>2452896</v>
      </c>
      <c r="N7" s="21">
        <f>'Weekly Scorecard'!P10</f>
        <v>1755365</v>
      </c>
    </row>
    <row r="8" spans="1:14" x14ac:dyDescent="0.35">
      <c r="A8" s="18">
        <f>'Weekly Scorecard'!C11</f>
        <v>44697</v>
      </c>
      <c r="B8" s="19">
        <f>'Weekly Scorecard'!D11</f>
        <v>1703</v>
      </c>
      <c r="C8" s="20">
        <f>'Weekly Scorecard'!E11</f>
        <v>0.17</v>
      </c>
      <c r="D8" s="19">
        <f>'Weekly Scorecard'!F11</f>
        <v>17</v>
      </c>
      <c r="E8" s="19">
        <f>'Weekly Scorecard'!G11</f>
        <v>4</v>
      </c>
      <c r="F8" s="19">
        <f>'Weekly Scorecard'!H11</f>
        <v>44</v>
      </c>
      <c r="G8" s="19">
        <f>'Weekly Scorecard'!I11</f>
        <v>0</v>
      </c>
      <c r="H8" s="21">
        <f>'Weekly Scorecard'!J11</f>
        <v>362100</v>
      </c>
      <c r="I8" s="21">
        <f>'Weekly Scorecard'!K11</f>
        <v>362100</v>
      </c>
      <c r="J8" s="20">
        <f>'Weekly Scorecard'!L11</f>
        <v>0.41</v>
      </c>
      <c r="K8" s="21">
        <f>'Weekly Scorecard'!M11</f>
        <v>2138483</v>
      </c>
      <c r="L8" s="21">
        <f>'Weekly Scorecard'!N11</f>
        <v>555620</v>
      </c>
      <c r="M8" s="21">
        <f>'Weekly Scorecard'!O11</f>
        <v>3088896</v>
      </c>
      <c r="N8" s="21">
        <f>'Weekly Scorecard'!P11</f>
        <v>2332000</v>
      </c>
    </row>
    <row r="9" spans="1:14" x14ac:dyDescent="0.35">
      <c r="A9" s="18">
        <f>'Weekly Scorecard'!C12</f>
        <v>44704</v>
      </c>
      <c r="B9" s="19">
        <f>'Weekly Scorecard'!D12</f>
        <v>2560</v>
      </c>
      <c r="C9" s="20">
        <f>'Weekly Scorecard'!E12</f>
        <v>0.22</v>
      </c>
      <c r="D9" s="19">
        <f>'Weekly Scorecard'!F12</f>
        <v>22</v>
      </c>
      <c r="E9" s="19">
        <f>'Weekly Scorecard'!G12</f>
        <v>4</v>
      </c>
      <c r="F9" s="19">
        <f>'Weekly Scorecard'!H12</f>
        <v>44</v>
      </c>
      <c r="G9" s="19">
        <f>'Weekly Scorecard'!I12</f>
        <v>0</v>
      </c>
      <c r="H9" s="21">
        <f>'Weekly Scorecard'!J12</f>
        <v>362100</v>
      </c>
      <c r="I9" s="21">
        <f>'Weekly Scorecard'!K12</f>
        <v>362100</v>
      </c>
      <c r="J9" s="20">
        <f>'Weekly Scorecard'!L12</f>
        <v>0.41</v>
      </c>
      <c r="K9" s="21">
        <f>'Weekly Scorecard'!M12</f>
        <v>2178378</v>
      </c>
      <c r="L9" s="21">
        <f>'Weekly Scorecard'!N12</f>
        <v>696915</v>
      </c>
      <c r="M9" s="21">
        <f>'Weekly Scorecard'!O12</f>
        <v>3582996</v>
      </c>
      <c r="N9" s="21">
        <f>'Weekly Scorecard'!P12</f>
        <v>2513194</v>
      </c>
    </row>
    <row r="10" spans="1:14" x14ac:dyDescent="0.35">
      <c r="A10" s="18">
        <f>'Weekly Scorecard'!C13</f>
        <v>44711</v>
      </c>
      <c r="B10" s="19">
        <f>'Weekly Scorecard'!D13</f>
        <v>620</v>
      </c>
      <c r="C10" s="20">
        <f>'Weekly Scorecard'!E13</f>
        <v>0.16</v>
      </c>
      <c r="D10" s="19">
        <f>'Weekly Scorecard'!F13</f>
        <v>22</v>
      </c>
      <c r="E10" s="19">
        <f>'Weekly Scorecard'!G13</f>
        <v>4</v>
      </c>
      <c r="F10" s="19">
        <f>'Weekly Scorecard'!H13</f>
        <v>44</v>
      </c>
      <c r="G10" s="19">
        <f>'Weekly Scorecard'!I13</f>
        <v>2</v>
      </c>
      <c r="H10" s="21">
        <f>'Weekly Scorecard'!J13</f>
        <v>1230000</v>
      </c>
      <c r="I10" s="21">
        <f>'Weekly Scorecard'!K13</f>
        <v>1230000</v>
      </c>
      <c r="J10" s="20">
        <f>'Weekly Scorecard'!L13</f>
        <v>0.7</v>
      </c>
      <c r="K10" s="21">
        <f>'Weekly Scorecard'!M13</f>
        <v>1634878</v>
      </c>
      <c r="L10" s="21">
        <f>'Weekly Scorecard'!N13</f>
        <v>1415575</v>
      </c>
      <c r="M10" s="21">
        <f>'Weekly Scorecard'!O13</f>
        <v>3220896</v>
      </c>
      <c r="N10" s="21">
        <f>'Weekly Scorecard'!P13</f>
        <v>3050453</v>
      </c>
    </row>
    <row r="11" spans="1:14" x14ac:dyDescent="0.35">
      <c r="A11" s="18">
        <f>'Weekly Scorecard'!C14</f>
        <v>44718</v>
      </c>
      <c r="B11" s="19">
        <f>'Weekly Scorecard'!D14</f>
        <v>2238</v>
      </c>
      <c r="C11" s="20">
        <f>'Weekly Scorecard'!E14</f>
        <v>0.26</v>
      </c>
      <c r="D11" s="19">
        <f>'Weekly Scorecard'!F14</f>
        <v>23</v>
      </c>
      <c r="E11" s="19">
        <f>'Weekly Scorecard'!G14</f>
        <v>4</v>
      </c>
      <c r="F11" s="19">
        <f>'Weekly Scorecard'!H14</f>
        <v>43</v>
      </c>
      <c r="G11" s="19">
        <f>'Weekly Scorecard'!I14</f>
        <v>2</v>
      </c>
      <c r="H11" s="21">
        <f>'Weekly Scorecard'!J14</f>
        <v>1430000</v>
      </c>
      <c r="I11" s="21">
        <f>'Weekly Scorecard'!K14</f>
        <v>1143000</v>
      </c>
      <c r="J11" s="20">
        <f>'Weekly Scorecard'!L14</f>
        <v>0.6</v>
      </c>
      <c r="K11" s="21">
        <f>'Weekly Scorecard'!M14</f>
        <v>1965773</v>
      </c>
      <c r="L11" s="21">
        <f>'Weekly Scorecard'!N14</f>
        <v>1444485</v>
      </c>
      <c r="M11" s="21">
        <f>'Weekly Scorecard'!O14</f>
        <v>3446896</v>
      </c>
      <c r="N11" s="21">
        <f>'Weekly Scorecard'!P14</f>
        <v>3410258</v>
      </c>
    </row>
    <row r="12" spans="1:14" x14ac:dyDescent="0.35">
      <c r="A12" s="18">
        <f>'Weekly Scorecard'!C15</f>
        <v>44725</v>
      </c>
      <c r="B12" s="19">
        <f>'Weekly Scorecard'!D15</f>
        <v>2636</v>
      </c>
      <c r="C12" s="20">
        <f>'Weekly Scorecard'!E15</f>
        <v>0.23</v>
      </c>
      <c r="D12" s="19">
        <f>'Weekly Scorecard'!F15</f>
        <v>26</v>
      </c>
      <c r="E12" s="19">
        <f>'Weekly Scorecard'!G15</f>
        <v>4</v>
      </c>
      <c r="F12" s="19">
        <f>'Weekly Scorecard'!H15</f>
        <v>45</v>
      </c>
      <c r="G12" s="19">
        <f>'Weekly Scorecard'!I15</f>
        <v>2</v>
      </c>
      <c r="H12" s="21">
        <f>'Weekly Scorecard'!J15</f>
        <v>1490000</v>
      </c>
      <c r="I12" s="21">
        <f>'Weekly Scorecard'!K15</f>
        <v>1490000</v>
      </c>
      <c r="J12" s="20">
        <f>'Weekly Scorecard'!L15</f>
        <v>0.56999999999999995</v>
      </c>
      <c r="K12" s="21">
        <f>'Weekly Scorecard'!M15</f>
        <v>1802398</v>
      </c>
      <c r="L12" s="21">
        <f>'Weekly Scorecard'!N15</f>
        <v>1665345</v>
      </c>
      <c r="M12" s="21">
        <f>'Weekly Scorecard'!O15</f>
        <v>3445536</v>
      </c>
      <c r="N12" s="21">
        <f>'Weekly Scorecard'!P15</f>
        <v>3467743</v>
      </c>
    </row>
    <row r="13" spans="1:14" x14ac:dyDescent="0.35">
      <c r="A13" s="18">
        <f>'Weekly Scorecard'!C16</f>
        <v>44732</v>
      </c>
      <c r="B13" s="19">
        <f>'Weekly Scorecard'!D16</f>
        <v>2730</v>
      </c>
      <c r="C13" s="20">
        <f>'Weekly Scorecard'!E16</f>
        <v>0.22</v>
      </c>
      <c r="D13" s="19">
        <f>'Weekly Scorecard'!F16</f>
        <v>26</v>
      </c>
      <c r="E13" s="19">
        <f>'Weekly Scorecard'!G16</f>
        <v>4</v>
      </c>
      <c r="F13" s="19">
        <f>'Weekly Scorecard'!H16</f>
        <v>46</v>
      </c>
      <c r="G13" s="19">
        <f>'Weekly Scorecard'!I16</f>
        <v>2</v>
      </c>
      <c r="H13" s="19">
        <f>'Weekly Scorecard'!J16</f>
        <v>1600000</v>
      </c>
      <c r="I13" s="19">
        <f>'Weekly Scorecard'!K16</f>
        <v>1600000</v>
      </c>
      <c r="J13" s="19">
        <f>'Weekly Scorecard'!L16</f>
        <v>0.53</v>
      </c>
      <c r="K13" s="19">
        <f>'Weekly Scorecard'!M16</f>
        <v>1600000</v>
      </c>
      <c r="L13" s="19">
        <f>'Weekly Scorecard'!N16</f>
        <v>5718889</v>
      </c>
      <c r="M13" s="19">
        <f>'Weekly Scorecard'!O16</f>
        <v>3910001</v>
      </c>
      <c r="N13" s="19">
        <f>'Weekly Scorecard'!P16</f>
        <v>7318889</v>
      </c>
    </row>
    <row r="14" spans="1:14" x14ac:dyDescent="0.35">
      <c r="A14" s="18">
        <f>'Weekly Scorecard'!C17</f>
        <v>44739</v>
      </c>
      <c r="B14" s="19">
        <f>'Weekly Scorecard'!D17</f>
        <v>5350</v>
      </c>
      <c r="C14" s="20">
        <f>'Weekly Scorecard'!E17</f>
        <v>0.37</v>
      </c>
      <c r="D14" s="19">
        <f>'Weekly Scorecard'!F17</f>
        <v>26</v>
      </c>
      <c r="E14" s="19">
        <f>'Weekly Scorecard'!G17</f>
        <v>4</v>
      </c>
      <c r="F14" s="19">
        <f>'Weekly Scorecard'!H17</f>
        <v>48</v>
      </c>
      <c r="G14" s="19">
        <f>'Weekly Scorecard'!I17</f>
        <v>4</v>
      </c>
      <c r="H14" s="19">
        <f>'Weekly Scorecard'!J17</f>
        <v>1610000</v>
      </c>
      <c r="I14" s="19">
        <f>'Weekly Scorecard'!K17</f>
        <v>1610000</v>
      </c>
      <c r="J14" s="19">
        <f>'Weekly Scorecard'!L17</f>
        <v>0.54</v>
      </c>
      <c r="K14" s="19">
        <f>'Weekly Scorecard'!M17</f>
        <v>1610000</v>
      </c>
      <c r="L14" s="19">
        <f>'Weekly Scorecard'!N17</f>
        <v>6627839.4500000002</v>
      </c>
      <c r="M14" s="19">
        <f>'Weekly Scorecard'!O17</f>
        <v>3958912.8666666672</v>
      </c>
      <c r="N14" s="19">
        <f>'Weekly Scorecard'!P17</f>
        <v>8237839.4500000002</v>
      </c>
    </row>
    <row r="15" spans="1:14" x14ac:dyDescent="0.35">
      <c r="A15" s="18">
        <f>'Weekly Scorecard'!C18</f>
        <v>44746</v>
      </c>
      <c r="B15" s="19">
        <f>'Weekly Scorecard'!D18</f>
        <v>1809</v>
      </c>
      <c r="C15" s="20">
        <f>'Weekly Scorecard'!E18</f>
        <v>0.41</v>
      </c>
      <c r="D15" s="19">
        <f>'Weekly Scorecard'!F18</f>
        <v>27</v>
      </c>
      <c r="E15" s="19">
        <f>'Weekly Scorecard'!G18</f>
        <v>4</v>
      </c>
      <c r="F15" s="19">
        <f>'Weekly Scorecard'!H18</f>
        <v>45</v>
      </c>
      <c r="G15" s="19">
        <f>'Weekly Scorecard'!I18</f>
        <v>4</v>
      </c>
      <c r="H15" s="19">
        <f>'Weekly Scorecard'!J18</f>
        <v>0</v>
      </c>
      <c r="I15" s="19">
        <f>'Weekly Scorecard'!K18</f>
        <v>1610000</v>
      </c>
      <c r="J15" s="19">
        <f>'Weekly Scorecard'!L18</f>
        <v>0.53</v>
      </c>
      <c r="K15" s="19">
        <f>'Weekly Scorecard'!M18</f>
        <v>1820020</v>
      </c>
      <c r="L15" s="19">
        <f>'Weekly Scorecard'!N18</f>
        <v>26250</v>
      </c>
      <c r="M15" s="19">
        <f>'Weekly Scorecard'!O18</f>
        <v>3984910</v>
      </c>
      <c r="N15" s="19">
        <f>'Weekly Scorecard'!P18</f>
        <v>1846270</v>
      </c>
    </row>
    <row r="16" spans="1:14" x14ac:dyDescent="0.35">
      <c r="A16" s="18">
        <f>'Weekly Scorecard'!C19</f>
        <v>44753</v>
      </c>
      <c r="B16" s="19">
        <f>'Weekly Scorecard'!D19</f>
        <v>1356</v>
      </c>
      <c r="C16" s="20">
        <f>'Weekly Scorecard'!E19</f>
        <v>0.5</v>
      </c>
      <c r="D16" s="19">
        <f>'Weekly Scorecard'!F19</f>
        <v>34</v>
      </c>
      <c r="E16" s="19">
        <f>'Weekly Scorecard'!G19</f>
        <v>7</v>
      </c>
      <c r="F16" s="19">
        <f>'Weekly Scorecard'!H19</f>
        <v>47</v>
      </c>
      <c r="G16" s="19">
        <f>'Weekly Scorecard'!I19</f>
        <v>4</v>
      </c>
      <c r="H16" s="19">
        <f>'Weekly Scorecard'!J19</f>
        <v>1158629</v>
      </c>
      <c r="I16" s="19">
        <f>'Weekly Scorecard'!K19</f>
        <v>1184879</v>
      </c>
      <c r="J16" s="19">
        <f>'Weekly Scorecard'!L19</f>
        <v>0.48</v>
      </c>
      <c r="K16" s="19">
        <f>'Weekly Scorecard'!M19</f>
        <v>1331029</v>
      </c>
      <c r="L16" s="19">
        <f>'Weekly Scorecard'!N19</f>
        <v>26250</v>
      </c>
      <c r="M16" s="19">
        <f>'Weekly Scorecard'!O19</f>
        <v>4295080</v>
      </c>
      <c r="N16" s="19">
        <f>'Weekly Scorecard'!P19</f>
        <v>1357279</v>
      </c>
    </row>
    <row r="17" spans="1:14" x14ac:dyDescent="0.35">
      <c r="A17" s="18">
        <f>'Weekly Scorecard'!C20</f>
        <v>44760</v>
      </c>
      <c r="B17" s="19">
        <f>'Weekly Scorecard'!D20</f>
        <v>751</v>
      </c>
      <c r="C17" s="20">
        <f>'Weekly Scorecard'!E20</f>
        <v>0.2</v>
      </c>
      <c r="D17" s="19">
        <f>'Weekly Scorecard'!F20</f>
        <v>34</v>
      </c>
      <c r="E17" s="19">
        <f>'Weekly Scorecard'!G20</f>
        <v>7</v>
      </c>
      <c r="F17" s="19">
        <f>'Weekly Scorecard'!H20</f>
        <v>48</v>
      </c>
      <c r="G17" s="19">
        <f>'Weekly Scorecard'!I20</f>
        <v>5</v>
      </c>
      <c r="H17" s="19">
        <f>'Weekly Scorecard'!J20</f>
        <v>172400</v>
      </c>
      <c r="I17" s="19">
        <f>'Weekly Scorecard'!K20</f>
        <v>1790000</v>
      </c>
      <c r="J17" s="19">
        <f>'Weekly Scorecard'!L20</f>
        <v>0.48</v>
      </c>
      <c r="K17" s="19">
        <f>'Weekly Scorecard'!M20</f>
        <v>1451304</v>
      </c>
      <c r="L17" s="19">
        <f>'Weekly Scorecard'!N20</f>
        <v>26250</v>
      </c>
      <c r="M17" s="19">
        <f>'Weekly Scorecard'!O20</f>
        <v>4473476</v>
      </c>
      <c r="N17" s="19">
        <f>'Weekly Scorecard'!P20</f>
        <v>1477554</v>
      </c>
    </row>
    <row r="18" spans="1:14" x14ac:dyDescent="0.35">
      <c r="A18" s="18">
        <f>'Weekly Scorecard'!C21</f>
        <v>44767</v>
      </c>
      <c r="B18" s="19">
        <f>'Weekly Scorecard'!D21</f>
        <v>1034</v>
      </c>
      <c r="C18" s="20">
        <f>'Weekly Scorecard'!E21</f>
        <v>0.2</v>
      </c>
      <c r="D18" s="19">
        <f>'Weekly Scorecard'!F21</f>
        <v>35</v>
      </c>
      <c r="E18" s="19">
        <f>'Weekly Scorecard'!G21</f>
        <v>8</v>
      </c>
      <c r="F18" s="19">
        <f>'Weekly Scorecard'!H21</f>
        <v>48</v>
      </c>
      <c r="G18" s="19">
        <f>'Weekly Scorecard'!I21</f>
        <v>6</v>
      </c>
      <c r="H18" s="19">
        <f>'Weekly Scorecard'!J21</f>
        <v>223400</v>
      </c>
      <c r="I18" s="19">
        <f>'Weekly Scorecard'!K21</f>
        <v>1840000</v>
      </c>
      <c r="J18" s="19">
        <f>'Weekly Scorecard'!L21</f>
        <v>0.47</v>
      </c>
      <c r="K18" s="19">
        <f>'Weekly Scorecard'!M21</f>
        <v>1630720</v>
      </c>
      <c r="L18" s="19">
        <f>'Weekly Scorecard'!N21</f>
        <v>26250</v>
      </c>
      <c r="M18" s="19">
        <f>'Weekly Scorecard'!O21</f>
        <v>4693076</v>
      </c>
      <c r="N18" s="19">
        <f>'Weekly Scorecard'!P21</f>
        <v>1656970</v>
      </c>
    </row>
    <row r="19" spans="1:14" x14ac:dyDescent="0.35">
      <c r="A19" s="18">
        <f>'Weekly Scorecard'!C22</f>
        <v>44774</v>
      </c>
      <c r="B19" s="19">
        <f>'Weekly Scorecard'!D22</f>
        <v>2068</v>
      </c>
      <c r="C19" s="20">
        <f>'Weekly Scorecard'!E22</f>
        <v>0.23</v>
      </c>
      <c r="D19" s="19">
        <f>'Weekly Scorecard'!F22</f>
        <v>35</v>
      </c>
      <c r="E19" s="19">
        <f>'Weekly Scorecard'!G22</f>
        <v>8</v>
      </c>
      <c r="F19" s="19">
        <f>'Weekly Scorecard'!H22</f>
        <v>48</v>
      </c>
      <c r="G19" s="19">
        <f>'Weekly Scorecard'!I22</f>
        <v>7</v>
      </c>
      <c r="H19" s="19">
        <f>'Weekly Scorecard'!J22</f>
        <v>223400</v>
      </c>
      <c r="I19" s="19">
        <f>'Weekly Scorecard'!K22</f>
        <v>1840000</v>
      </c>
      <c r="J19" s="19">
        <f>'Weekly Scorecard'!L22</f>
        <v>0.47</v>
      </c>
      <c r="K19" s="19">
        <f>'Weekly Scorecard'!M22</f>
        <v>1385390</v>
      </c>
      <c r="L19" s="19">
        <f>'Weekly Scorecard'!N22</f>
        <v>26250</v>
      </c>
      <c r="M19" s="19">
        <f>'Weekly Scorecard'!O22</f>
        <v>4710976</v>
      </c>
      <c r="N19" s="19">
        <f>'Weekly Scorecard'!P22</f>
        <v>1411640</v>
      </c>
    </row>
    <row r="20" spans="1:14" x14ac:dyDescent="0.35">
      <c r="A20" s="18">
        <f>'Weekly Scorecard'!C23</f>
        <v>44781</v>
      </c>
      <c r="B20" s="19">
        <f>'Weekly Scorecard'!D23</f>
        <v>1924</v>
      </c>
      <c r="C20" s="20">
        <f>'Weekly Scorecard'!E23</f>
        <v>0.11</v>
      </c>
      <c r="D20" s="19">
        <f>'Weekly Scorecard'!F23</f>
        <v>37</v>
      </c>
      <c r="E20" s="19">
        <f>'Weekly Scorecard'!G23</f>
        <v>9</v>
      </c>
      <c r="F20" s="19">
        <f>'Weekly Scorecard'!H23</f>
        <v>50</v>
      </c>
      <c r="G20" s="19">
        <f>'Weekly Scorecard'!I23</f>
        <v>7</v>
      </c>
      <c r="H20" s="19">
        <f>'Weekly Scorecard'!J23</f>
        <v>489400</v>
      </c>
      <c r="I20" s="19">
        <f>'Weekly Scorecard'!K23</f>
        <v>2100000</v>
      </c>
      <c r="J20" s="19">
        <f>'Weekly Scorecard'!L23</f>
        <v>0.41</v>
      </c>
      <c r="K20" s="19">
        <f>'Weekly Scorecard'!M23</f>
        <v>1879386</v>
      </c>
      <c r="L20" s="19">
        <f>'Weekly Scorecard'!N23</f>
        <v>31500</v>
      </c>
      <c r="M20" s="19">
        <f>'Weekly Scorecard'!O23</f>
        <v>4710975.6761904759</v>
      </c>
      <c r="N20" s="19">
        <f>'Weekly Scorecard'!P23</f>
        <v>1910886</v>
      </c>
    </row>
    <row r="21" spans="1:14" x14ac:dyDescent="0.35">
      <c r="A21" s="18">
        <f>'Weekly Scorecard'!C24</f>
        <v>44788</v>
      </c>
      <c r="B21" s="19">
        <f>'Weekly Scorecard'!D24</f>
        <v>1735</v>
      </c>
      <c r="C21" s="20">
        <f>'Weekly Scorecard'!E24</f>
        <v>0.22</v>
      </c>
      <c r="D21" s="19">
        <f>'Weekly Scorecard'!F24</f>
        <v>37</v>
      </c>
      <c r="E21" s="19">
        <f>'Weekly Scorecard'!G24</f>
        <v>9</v>
      </c>
      <c r="F21" s="19">
        <f>'Weekly Scorecard'!H24</f>
        <v>50</v>
      </c>
      <c r="G21" s="19">
        <f>'Weekly Scorecard'!I24</f>
        <v>7</v>
      </c>
      <c r="H21" s="19">
        <f>'Weekly Scorecard'!J24</f>
        <v>519870</v>
      </c>
      <c r="I21" s="19">
        <f>'Weekly Scorecard'!K24</f>
        <v>2130000</v>
      </c>
      <c r="J21" s="19">
        <f>'Weekly Scorecard'!L24</f>
        <v>0.4</v>
      </c>
      <c r="K21" s="19">
        <f>'Weekly Scorecard'!M24</f>
        <v>2022211</v>
      </c>
      <c r="L21" s="19">
        <f>'Weekly Scorecard'!N24</f>
        <v>61250</v>
      </c>
      <c r="M21" s="19">
        <f>'Weekly Scorecard'!O24</f>
        <v>4721190</v>
      </c>
      <c r="N21" s="19">
        <f>'Weekly Scorecard'!P24</f>
        <v>2083461</v>
      </c>
    </row>
    <row r="22" spans="1:14" x14ac:dyDescent="0.35">
      <c r="A22" s="18">
        <f>'Weekly Scorecard'!C25</f>
        <v>44795</v>
      </c>
      <c r="B22" s="19">
        <f>'Weekly Scorecard'!D25</f>
        <v>3239</v>
      </c>
      <c r="C22" s="20">
        <f>'Weekly Scorecard'!E25</f>
        <v>0.2</v>
      </c>
      <c r="D22" s="19">
        <f>'Weekly Scorecard'!F25</f>
        <v>37</v>
      </c>
      <c r="E22" s="19">
        <f>'Weekly Scorecard'!G25</f>
        <v>9</v>
      </c>
      <c r="F22" s="19">
        <f>'Weekly Scorecard'!H25</f>
        <v>50</v>
      </c>
      <c r="G22" s="19">
        <f>'Weekly Scorecard'!I25</f>
        <v>7</v>
      </c>
      <c r="H22" s="19">
        <f>'Weekly Scorecard'!J25</f>
        <v>0</v>
      </c>
      <c r="I22" s="19">
        <f>'Weekly Scorecard'!K25</f>
        <v>0</v>
      </c>
      <c r="J22" s="19">
        <f>'Weekly Scorecard'!L25</f>
        <v>0</v>
      </c>
      <c r="K22" s="19">
        <f>'Weekly Scorecard'!M25</f>
        <v>1141256</v>
      </c>
      <c r="L22" s="19">
        <f>'Weekly Scorecard'!N25</f>
        <v>512400</v>
      </c>
      <c r="M22" s="19">
        <f>'Weekly Scorecard'!O25</f>
        <v>5125690</v>
      </c>
      <c r="N22" s="19">
        <f>'Weekly Scorecard'!P25</f>
        <v>1653656</v>
      </c>
    </row>
    <row r="23" spans="1:14" x14ac:dyDescent="0.35">
      <c r="A23" s="18">
        <f>'Weekly Scorecard'!C26</f>
        <v>44802</v>
      </c>
      <c r="B23" s="19">
        <f>'Weekly Scorecard'!D26</f>
        <v>1058</v>
      </c>
      <c r="C23" s="20">
        <f>'Weekly Scorecard'!E26</f>
        <v>0.24</v>
      </c>
      <c r="D23" s="19">
        <f>'Weekly Scorecard'!F26</f>
        <v>39</v>
      </c>
      <c r="E23" s="19">
        <f>'Weekly Scorecard'!G26</f>
        <v>10</v>
      </c>
      <c r="F23" s="19">
        <f>'Weekly Scorecard'!H26</f>
        <v>50</v>
      </c>
      <c r="G23" s="19">
        <f>'Weekly Scorecard'!I26</f>
        <v>7</v>
      </c>
      <c r="H23" s="19">
        <f>'Weekly Scorecard'!J26</f>
        <v>0</v>
      </c>
      <c r="I23" s="19">
        <f>'Weekly Scorecard'!K26</f>
        <v>0</v>
      </c>
      <c r="J23" s="19">
        <f>'Weekly Scorecard'!L26</f>
        <v>0</v>
      </c>
      <c r="K23" s="19">
        <f>'Weekly Scorecard'!M26</f>
        <v>1159608</v>
      </c>
      <c r="L23" s="19">
        <f>'Weekly Scorecard'!N26</f>
        <v>657825</v>
      </c>
      <c r="M23" s="19">
        <f>'Weekly Scorecard'!O26</f>
        <v>5137440</v>
      </c>
      <c r="N23" s="19">
        <f>'Weekly Scorecard'!P26</f>
        <v>1817433</v>
      </c>
    </row>
    <row r="24" spans="1:14" x14ac:dyDescent="0.35">
      <c r="A24" s="18">
        <f>'Weekly Scorecard'!C27</f>
        <v>44809</v>
      </c>
      <c r="B24" s="19">
        <f>'Weekly Scorecard'!D27</f>
        <v>2332</v>
      </c>
      <c r="C24" s="20">
        <f>'Weekly Scorecard'!E27</f>
        <v>0.28999999999999998</v>
      </c>
      <c r="D24" s="19">
        <f>'Weekly Scorecard'!F27</f>
        <v>39</v>
      </c>
      <c r="E24" s="19">
        <f>'Weekly Scorecard'!G27</f>
        <v>10</v>
      </c>
      <c r="F24" s="19">
        <f>'Weekly Scorecard'!H27</f>
        <v>51</v>
      </c>
      <c r="G24" s="19">
        <f>'Weekly Scorecard'!I27</f>
        <v>7</v>
      </c>
      <c r="H24" s="19">
        <f>'Weekly Scorecard'!J27</f>
        <v>570370</v>
      </c>
      <c r="I24" s="19">
        <f>'Weekly Scorecard'!K27</f>
        <v>2210000</v>
      </c>
      <c r="J24" s="19">
        <f>'Weekly Scorecard'!L27</f>
        <v>0.39</v>
      </c>
      <c r="K24" s="19">
        <f>'Weekly Scorecard'!M27</f>
        <v>1534991</v>
      </c>
      <c r="L24" s="19">
        <f>'Weekly Scorecard'!N27</f>
        <v>863600</v>
      </c>
      <c r="M24" s="19">
        <f>'Weekly Scorecard'!O27</f>
        <v>5137440</v>
      </c>
      <c r="N24" s="19">
        <f>'Weekly Scorecard'!P27</f>
        <v>2398591</v>
      </c>
    </row>
    <row r="25" spans="1:14" x14ac:dyDescent="0.35">
      <c r="A25" s="18">
        <f>'Weekly Scorecard'!C28</f>
        <v>44816</v>
      </c>
      <c r="B25" s="19">
        <f>'Weekly Scorecard'!D28</f>
        <v>4991</v>
      </c>
      <c r="C25" s="20">
        <f>'Weekly Scorecard'!E27</f>
        <v>0.28999999999999998</v>
      </c>
      <c r="D25" s="19">
        <f>'Weekly Scorecard'!F28</f>
        <v>39</v>
      </c>
      <c r="E25" s="19">
        <f>'Weekly Scorecard'!G28</f>
        <v>10</v>
      </c>
      <c r="F25" s="19">
        <f>'Weekly Scorecard'!H28</f>
        <v>52</v>
      </c>
      <c r="G25" s="19">
        <f>'Weekly Scorecard'!I28</f>
        <v>8</v>
      </c>
      <c r="H25" s="19">
        <f>'Weekly Scorecard'!J28</f>
        <v>582620</v>
      </c>
      <c r="I25" s="19">
        <f>'Weekly Scorecard'!K28</f>
        <v>2220000</v>
      </c>
      <c r="J25" s="19">
        <f>'Weekly Scorecard'!L28</f>
        <v>0.38</v>
      </c>
      <c r="K25" s="19">
        <f>'Weekly Scorecard'!M28</f>
        <v>1457401</v>
      </c>
      <c r="L25" s="19">
        <f>'Weekly Scorecard'!N28</f>
        <v>1097612</v>
      </c>
      <c r="M25" s="19">
        <f>'Weekly Scorecard'!O28</f>
        <v>5417222</v>
      </c>
      <c r="N25" s="19">
        <f>'Weekly Scorecard'!P28</f>
        <v>2555013</v>
      </c>
    </row>
    <row r="26" spans="1:14" x14ac:dyDescent="0.35">
      <c r="A26" s="18">
        <f>'Weekly Scorecard'!C29</f>
        <v>44823</v>
      </c>
      <c r="B26" s="19">
        <f>'Weekly Scorecard'!D29</f>
        <v>2044</v>
      </c>
      <c r="C26" s="20">
        <f>'Weekly Scorecard'!E29</f>
        <v>0.18</v>
      </c>
      <c r="D26" s="19">
        <f>'Weekly Scorecard'!F29</f>
        <v>39</v>
      </c>
      <c r="E26" s="19">
        <f>'Weekly Scorecard'!G29</f>
        <v>10</v>
      </c>
      <c r="F26" s="19">
        <f>'Weekly Scorecard'!H29</f>
        <v>52</v>
      </c>
      <c r="G26" s="19">
        <f>'Weekly Scorecard'!I29</f>
        <v>8</v>
      </c>
      <c r="H26" s="19">
        <f>'Weekly Scorecard'!J29</f>
        <v>862120</v>
      </c>
      <c r="I26" s="19">
        <f>'Weekly Scorecard'!K29</f>
        <v>2500000</v>
      </c>
      <c r="J26" s="19">
        <f>'Weekly Scorecard'!L29</f>
        <v>0.38</v>
      </c>
      <c r="K26" s="19">
        <f>'Weekly Scorecard'!M29</f>
        <v>1546680</v>
      </c>
      <c r="L26" s="19">
        <f>'Weekly Scorecard'!N29</f>
        <v>1395112</v>
      </c>
      <c r="M26" s="19">
        <f>'Weekly Scorecard'!O29</f>
        <v>5400222</v>
      </c>
      <c r="N26" s="19">
        <f>'Weekly Scorecard'!P29</f>
        <v>2941792</v>
      </c>
    </row>
    <row r="27" spans="1:14" x14ac:dyDescent="0.35">
      <c r="A27" s="18">
        <f>'Weekly Scorecard'!C30</f>
        <v>44830</v>
      </c>
      <c r="B27" s="19">
        <f>'Weekly Scorecard'!D30</f>
        <v>4967</v>
      </c>
      <c r="C27" s="20">
        <f>'Weekly Scorecard'!E30</f>
        <v>0.26</v>
      </c>
      <c r="D27" s="19">
        <f>'Weekly Scorecard'!F30</f>
        <v>39</v>
      </c>
      <c r="E27" s="19">
        <f>'Weekly Scorecard'!G30</f>
        <v>10</v>
      </c>
      <c r="F27" s="19">
        <f>'Weekly Scorecard'!H30</f>
        <v>53</v>
      </c>
      <c r="G27" s="19">
        <f>'Weekly Scorecard'!I30</f>
        <v>8</v>
      </c>
      <c r="H27" s="19">
        <f>'Weekly Scorecard'!J30</f>
        <v>1489967</v>
      </c>
      <c r="I27" s="19">
        <f>'Weekly Scorecard'!K30</f>
        <v>3130000</v>
      </c>
      <c r="J27" s="19">
        <f>'Weekly Scorecard'!L30</f>
        <v>0.35</v>
      </c>
      <c r="K27" s="19">
        <f>'Weekly Scorecard'!M30</f>
        <v>1489967</v>
      </c>
      <c r="L27" s="19">
        <f>'Weekly Scorecard'!N30</f>
        <v>0</v>
      </c>
      <c r="M27" s="19">
        <f>'Weekly Scorecard'!O30</f>
        <v>5385036</v>
      </c>
      <c r="N27" s="19">
        <f>'Weekly Scorecard'!P30</f>
        <v>1489967</v>
      </c>
    </row>
    <row r="28" spans="1:14" x14ac:dyDescent="0.35">
      <c r="A28" s="18">
        <f>'Weekly Scorecard'!C31</f>
        <v>44837</v>
      </c>
      <c r="B28" s="19">
        <f>'Weekly Scorecard'!D31</f>
        <v>4380</v>
      </c>
      <c r="C28" s="20">
        <f>'Weekly Scorecard'!E31</f>
        <v>0.26</v>
      </c>
      <c r="D28" s="19">
        <f>'Weekly Scorecard'!F31</f>
        <v>40</v>
      </c>
      <c r="E28" s="19">
        <f>'Weekly Scorecard'!G31</f>
        <v>10</v>
      </c>
      <c r="F28" s="19">
        <f>'Weekly Scorecard'!H31</f>
        <v>55</v>
      </c>
      <c r="G28" s="19">
        <f>'Weekly Scorecard'!I31</f>
        <v>9</v>
      </c>
      <c r="H28" s="19">
        <f>'Weekly Scorecard'!J31</f>
        <v>240600</v>
      </c>
      <c r="I28" s="19">
        <f>'Weekly Scorecard'!K31</f>
        <v>3370000</v>
      </c>
      <c r="J28" s="19">
        <f>'Weekly Scorecard'!L31</f>
        <v>0.4</v>
      </c>
      <c r="K28" s="19">
        <f>'Weekly Scorecard'!M31</f>
        <v>3157677</v>
      </c>
      <c r="L28" s="19">
        <f>'Weekly Scorecard'!N31</f>
        <v>0</v>
      </c>
      <c r="M28" s="19">
        <f>'Weekly Scorecard'!O31</f>
        <v>5384836</v>
      </c>
      <c r="N28" s="19">
        <f>'Weekly Scorecard'!P31</f>
        <v>3157677</v>
      </c>
    </row>
    <row r="29" spans="1:14" x14ac:dyDescent="0.35">
      <c r="A29" s="18">
        <f>'Weekly Scorecard'!C32</f>
        <v>44844</v>
      </c>
      <c r="B29" s="19">
        <f>'Weekly Scorecard'!D32</f>
        <v>17428</v>
      </c>
      <c r="C29" s="20">
        <f>'Weekly Scorecard'!E32</f>
        <v>0.23</v>
      </c>
      <c r="D29" s="19">
        <f>'Weekly Scorecard'!F32</f>
        <v>41</v>
      </c>
      <c r="E29" s="19">
        <f>'Weekly Scorecard'!G32</f>
        <v>10</v>
      </c>
      <c r="F29" s="19">
        <f>'Weekly Scorecard'!H32</f>
        <v>56</v>
      </c>
      <c r="G29" s="19">
        <f>'Weekly Scorecard'!I32</f>
        <v>9</v>
      </c>
      <c r="H29" s="19">
        <f>'Weekly Scorecard'!J32</f>
        <v>267600</v>
      </c>
      <c r="I29" s="19">
        <f>'Weekly Scorecard'!K32</f>
        <v>3400000</v>
      </c>
      <c r="J29" s="19">
        <f>'Weekly Scorecard'!L32</f>
        <v>0.5</v>
      </c>
      <c r="K29" s="19">
        <f>'Weekly Scorecard'!M32</f>
        <v>3058123</v>
      </c>
      <c r="L29" s="19">
        <f>'Weekly Scorecard'!N32</f>
        <v>98000</v>
      </c>
      <c r="M29" s="19">
        <f>'Weekly Scorecard'!O32</f>
        <v>5265485</v>
      </c>
      <c r="N29" s="19">
        <f>'Weekly Scorecard'!P32</f>
        <v>3156123</v>
      </c>
    </row>
    <row r="30" spans="1:14" x14ac:dyDescent="0.35">
      <c r="A30" s="18">
        <f>'Weekly Scorecard'!C33</f>
        <v>44851</v>
      </c>
      <c r="B30" s="19">
        <f>'Weekly Scorecard'!D34</f>
        <v>6435</v>
      </c>
      <c r="C30" s="20">
        <f>'Weekly Scorecard'!E33</f>
        <v>0.2</v>
      </c>
      <c r="D30" s="19">
        <f>'Weekly Scorecard'!F33</f>
        <v>41</v>
      </c>
      <c r="E30" s="19">
        <f>'Weekly Scorecard'!G33</f>
        <v>10</v>
      </c>
      <c r="F30" s="19">
        <f>'Weekly Scorecard'!H33</f>
        <v>55</v>
      </c>
      <c r="G30" s="19">
        <f>'Weekly Scorecard'!I33</f>
        <v>9</v>
      </c>
      <c r="H30" s="19">
        <f>'Weekly Scorecard'!J33</f>
        <v>267600</v>
      </c>
      <c r="I30" s="19">
        <f>'Weekly Scorecard'!K33</f>
        <v>3400000</v>
      </c>
      <c r="J30" s="19">
        <f>'Weekly Scorecard'!L33</f>
        <v>0.4</v>
      </c>
      <c r="K30" s="19">
        <f>'Weekly Scorecard'!M33</f>
        <v>2997000</v>
      </c>
      <c r="L30" s="19">
        <f>'Weekly Scorecard'!N33</f>
        <v>133295</v>
      </c>
      <c r="M30" s="19">
        <f>'Weekly Scorecard'!O33</f>
        <v>5279547</v>
      </c>
      <c r="N30" s="19">
        <f>'Weekly Scorecard'!P33</f>
        <v>3130295</v>
      </c>
    </row>
    <row r="31" spans="1:14" x14ac:dyDescent="0.35">
      <c r="A31" s="18">
        <f>'Weekly Scorecard'!C34</f>
        <v>44858</v>
      </c>
      <c r="B31" s="19">
        <f>'Weekly Scorecard'!D35</f>
        <v>1940</v>
      </c>
      <c r="C31" s="20">
        <f>'Weekly Scorecard'!E34</f>
        <v>0.4</v>
      </c>
      <c r="D31" s="19">
        <f>'Weekly Scorecard'!F34</f>
        <v>41</v>
      </c>
      <c r="E31" s="19">
        <f>'Weekly Scorecard'!G34</f>
        <v>10</v>
      </c>
      <c r="F31" s="19">
        <f>'Weekly Scorecard'!H34</f>
        <v>54</v>
      </c>
      <c r="G31" s="19">
        <f>'Weekly Scorecard'!I34</f>
        <v>9</v>
      </c>
      <c r="H31" s="19">
        <f>'Weekly Scorecard'!J34</f>
        <v>369620</v>
      </c>
      <c r="I31" s="19">
        <f>'Weekly Scorecard'!K34</f>
        <v>3500000</v>
      </c>
      <c r="J31" s="19">
        <f>'Weekly Scorecard'!L34</f>
        <v>0.4</v>
      </c>
      <c r="K31" s="19">
        <f>'Weekly Scorecard'!M34</f>
        <v>2256674</v>
      </c>
      <c r="L31" s="19">
        <f>'Weekly Scorecard'!N34</f>
        <v>142045</v>
      </c>
      <c r="M31" s="19">
        <f>'Weekly Scorecard'!O34</f>
        <v>5585597</v>
      </c>
      <c r="N31" s="19">
        <f>'Weekly Scorecard'!P34</f>
        <v>2398719</v>
      </c>
    </row>
    <row r="32" spans="1:14" x14ac:dyDescent="0.35">
      <c r="A32" s="18">
        <f>'Weekly Scorecard'!C35</f>
        <v>44865</v>
      </c>
      <c r="B32" s="19">
        <f>'Weekly Scorecard'!D36</f>
        <v>8629</v>
      </c>
      <c r="C32" s="20">
        <f>'Weekly Scorecard'!E35</f>
        <v>0.16</v>
      </c>
      <c r="D32" s="19">
        <f>'Weekly Scorecard'!F35</f>
        <v>41</v>
      </c>
      <c r="E32" s="19">
        <f>'Weekly Scorecard'!G35</f>
        <v>10</v>
      </c>
      <c r="F32" s="19">
        <f>'Weekly Scorecard'!H35</f>
        <v>54</v>
      </c>
      <c r="G32" s="19">
        <f>'Weekly Scorecard'!I35</f>
        <v>9</v>
      </c>
      <c r="H32" s="19">
        <f>'Weekly Scorecard'!J35</f>
        <v>394620</v>
      </c>
      <c r="I32" s="19">
        <f>'Weekly Scorecard'!K35</f>
        <v>3520000</v>
      </c>
      <c r="J32" s="19">
        <f>'Weekly Scorecard'!L35</f>
        <v>0.4</v>
      </c>
      <c r="K32" s="19">
        <f>'Weekly Scorecard'!M35</f>
        <v>2322204</v>
      </c>
      <c r="L32" s="19">
        <f>'Weekly Scorecard'!N35</f>
        <v>142045</v>
      </c>
      <c r="M32" s="19">
        <f>'Weekly Scorecard'!O35</f>
        <v>5585597</v>
      </c>
      <c r="N32" s="19">
        <f>'Weekly Scorecard'!P35</f>
        <v>2464249</v>
      </c>
    </row>
    <row r="33" spans="1:14" x14ac:dyDescent="0.35">
      <c r="A33" s="18">
        <f>'Weekly Scorecard'!C36</f>
        <v>44872</v>
      </c>
      <c r="B33" s="19">
        <f>'Weekly Scorecard'!D37</f>
        <v>8230</v>
      </c>
      <c r="C33" s="20">
        <f>'Weekly Scorecard'!E36</f>
        <v>0.16</v>
      </c>
      <c r="D33" s="19">
        <f>'Weekly Scorecard'!F36</f>
        <v>41</v>
      </c>
      <c r="E33" s="19">
        <f>'Weekly Scorecard'!G36</f>
        <v>10</v>
      </c>
      <c r="F33" s="19">
        <f>'Weekly Scorecard'!H36</f>
        <v>54</v>
      </c>
      <c r="G33" s="19">
        <f>'Weekly Scorecard'!I36</f>
        <v>10</v>
      </c>
      <c r="H33" s="19">
        <f>'Weekly Scorecard'!J36</f>
        <v>503870</v>
      </c>
      <c r="I33" s="19">
        <f>'Weekly Scorecard'!K36</f>
        <v>3630000</v>
      </c>
      <c r="J33" s="19">
        <f>'Weekly Scorecard'!L36</f>
        <v>0.38</v>
      </c>
      <c r="K33" s="19">
        <f>'Weekly Scorecard'!M36</f>
        <v>2334150</v>
      </c>
      <c r="L33" s="19">
        <f>'Weekly Scorecard'!N36</f>
        <v>217295</v>
      </c>
      <c r="M33" s="19">
        <f>'Weekly Scorecard'!O36</f>
        <v>6107970</v>
      </c>
      <c r="N33" s="19">
        <f>'Weekly Scorecard'!P36</f>
        <v>2551445</v>
      </c>
    </row>
    <row r="34" spans="1:14" x14ac:dyDescent="0.35">
      <c r="A34" s="18">
        <f>'Weekly Scorecard'!C37</f>
        <v>44879</v>
      </c>
      <c r="B34" s="19">
        <f>'Weekly Scorecard'!D38</f>
        <v>6518</v>
      </c>
      <c r="C34" s="20">
        <f>'Weekly Scorecard'!E37</f>
        <v>0.36</v>
      </c>
      <c r="D34" s="19">
        <f>'Weekly Scorecard'!F37</f>
        <v>41</v>
      </c>
      <c r="E34" s="19">
        <f>'Weekly Scorecard'!G37</f>
        <v>10</v>
      </c>
      <c r="F34" s="19">
        <f>'Weekly Scorecard'!H37</f>
        <v>54</v>
      </c>
      <c r="G34" s="19">
        <f>'Weekly Scorecard'!I37</f>
        <v>10</v>
      </c>
      <c r="H34" s="19">
        <f>'Weekly Scorecard'!J37</f>
        <v>537870</v>
      </c>
      <c r="I34" s="19">
        <f>'Weekly Scorecard'!K37</f>
        <v>3670000</v>
      </c>
      <c r="J34" s="19">
        <f>'Weekly Scorecard'!L37</f>
        <v>0.39</v>
      </c>
      <c r="K34" s="19">
        <f>'Weekly Scorecard'!M37</f>
        <v>2480658</v>
      </c>
      <c r="L34" s="19">
        <f>'Weekly Scorecard'!N37</f>
        <v>420685</v>
      </c>
      <c r="M34" s="19">
        <f>'Weekly Scorecard'!O37</f>
        <v>6042309</v>
      </c>
      <c r="N34" s="19">
        <f>'Weekly Scorecard'!P37</f>
        <v>2901343</v>
      </c>
    </row>
    <row r="35" spans="1:14" x14ac:dyDescent="0.35">
      <c r="A35" s="18">
        <f>'Weekly Scorecard'!C38</f>
        <v>44886</v>
      </c>
      <c r="B35" s="19">
        <f>'Weekly Scorecard'!D39</f>
        <v>0</v>
      </c>
      <c r="C35" s="20">
        <f>'Weekly Scorecard'!E38</f>
        <v>0.23</v>
      </c>
      <c r="D35" s="19">
        <f>'Weekly Scorecard'!F38</f>
        <v>44</v>
      </c>
      <c r="E35" s="19">
        <f>'Weekly Scorecard'!G38</f>
        <v>12</v>
      </c>
      <c r="F35" s="19">
        <f>'Weekly Scorecard'!H38</f>
        <v>54</v>
      </c>
      <c r="G35" s="19">
        <f>'Weekly Scorecard'!I38</f>
        <v>9</v>
      </c>
      <c r="H35" s="19">
        <f>'Weekly Scorecard'!J38</f>
        <v>719840</v>
      </c>
      <c r="I35" s="19">
        <f>'Weekly Scorecard'!K38</f>
        <v>3790000</v>
      </c>
      <c r="J35" s="19">
        <f>'Weekly Scorecard'!L38</f>
        <v>0.39</v>
      </c>
      <c r="K35" s="19">
        <f>'Weekly Scorecard'!M38</f>
        <v>1622740</v>
      </c>
      <c r="L35" s="19">
        <f>'Weekly Scorecard'!N38</f>
        <v>1272735</v>
      </c>
      <c r="M35" s="19">
        <f>'Weekly Scorecard'!O38</f>
        <v>6042309</v>
      </c>
      <c r="N35" s="19">
        <f>'Weekly Scorecard'!P38</f>
        <v>2895475</v>
      </c>
    </row>
    <row r="36" spans="1:14" x14ac:dyDescent="0.35">
      <c r="A36" s="18">
        <f>'Weekly Scorecard'!C39</f>
        <v>44893</v>
      </c>
      <c r="B36" s="19">
        <f>'Weekly Scorecard'!D40</f>
        <v>0</v>
      </c>
      <c r="C36" s="20">
        <f>'Weekly Scorecard'!E39</f>
        <v>0</v>
      </c>
      <c r="D36" s="19">
        <f>'Weekly Scorecard'!F39</f>
        <v>44</v>
      </c>
      <c r="E36" s="19">
        <f>'Weekly Scorecard'!G39</f>
        <v>12</v>
      </c>
      <c r="F36" s="19">
        <f>'Weekly Scorecard'!H39</f>
        <v>53</v>
      </c>
      <c r="G36" s="19">
        <f>'Weekly Scorecard'!I39</f>
        <v>9</v>
      </c>
      <c r="H36" s="19">
        <f>'Weekly Scorecard'!J39</f>
        <v>1100000</v>
      </c>
      <c r="I36" s="19">
        <f>'Weekly Scorecard'!K39</f>
        <v>4170000</v>
      </c>
      <c r="J36" s="19">
        <f>'Weekly Scorecard'!L39</f>
        <v>0.36</v>
      </c>
      <c r="K36" s="19">
        <f>'Weekly Scorecard'!M39</f>
        <v>1878700</v>
      </c>
      <c r="L36" s="19">
        <f>'Weekly Scorecard'!N39</f>
        <v>1482735</v>
      </c>
      <c r="M36" s="19">
        <f>'Weekly Scorecard'!O39</f>
        <v>6047645.4202898555</v>
      </c>
      <c r="N36" s="19">
        <f>'Weekly Scorecard'!P39</f>
        <v>3361435</v>
      </c>
    </row>
    <row r="37" spans="1:14" x14ac:dyDescent="0.35">
      <c r="A37" s="18">
        <f>'Weekly Scorecard'!C40</f>
        <v>44900</v>
      </c>
      <c r="B37" s="19">
        <f>'Weekly Scorecard'!D41</f>
        <v>0</v>
      </c>
      <c r="C37" s="20">
        <f>'Weekly Scorecard'!E40</f>
        <v>0</v>
      </c>
      <c r="D37" s="19">
        <f>'Weekly Scorecard'!F40</f>
        <v>0</v>
      </c>
      <c r="E37" s="19">
        <f>'Weekly Scorecard'!G40</f>
        <v>0</v>
      </c>
      <c r="F37" s="19">
        <f>'Weekly Scorecard'!H40</f>
        <v>0</v>
      </c>
      <c r="G37" s="19">
        <f>'Weekly Scorecard'!I40</f>
        <v>0</v>
      </c>
      <c r="H37" s="19">
        <f>'Weekly Scorecard'!J40</f>
        <v>0</v>
      </c>
      <c r="I37" s="19">
        <f>'Weekly Scorecard'!K40</f>
        <v>0</v>
      </c>
      <c r="J37" s="19">
        <f>'Weekly Scorecard'!L40</f>
        <v>0</v>
      </c>
      <c r="K37" s="19">
        <f>'Weekly Scorecard'!M40</f>
        <v>0</v>
      </c>
      <c r="L37" s="19">
        <f>'Weekly Scorecard'!N40</f>
        <v>0</v>
      </c>
      <c r="M37" s="19">
        <f>'Weekly Scorecard'!O40</f>
        <v>0</v>
      </c>
      <c r="N37" s="19">
        <f>'Weekly Scorecard'!P40</f>
        <v>0</v>
      </c>
    </row>
    <row r="38" spans="1:14" x14ac:dyDescent="0.35">
      <c r="A38" s="18">
        <f>'Weekly Scorecard'!C41</f>
        <v>44907</v>
      </c>
      <c r="B38" s="19">
        <f>'Weekly Scorecard'!D42</f>
        <v>0</v>
      </c>
      <c r="C38" s="20">
        <f>'Weekly Scorecard'!E41</f>
        <v>0</v>
      </c>
      <c r="D38" s="19">
        <f>'Weekly Scorecard'!F41</f>
        <v>0</v>
      </c>
      <c r="E38" s="19">
        <f>'Weekly Scorecard'!G41</f>
        <v>0</v>
      </c>
      <c r="F38" s="19">
        <f>'Weekly Scorecard'!H41</f>
        <v>0</v>
      </c>
      <c r="G38" s="19">
        <f>'Weekly Scorecard'!I41</f>
        <v>0</v>
      </c>
      <c r="H38" s="19">
        <f>'Weekly Scorecard'!J41</f>
        <v>0</v>
      </c>
      <c r="I38" s="19">
        <f>'Weekly Scorecard'!K41</f>
        <v>0</v>
      </c>
      <c r="J38" s="19">
        <f>'Weekly Scorecard'!L41</f>
        <v>0</v>
      </c>
      <c r="K38" s="19">
        <f>'Weekly Scorecard'!M41</f>
        <v>0</v>
      </c>
      <c r="L38" s="19">
        <f>'Weekly Scorecard'!N41</f>
        <v>0</v>
      </c>
      <c r="M38" s="19">
        <f>'Weekly Scorecard'!O41</f>
        <v>0</v>
      </c>
      <c r="N38" s="19">
        <f>'Weekly Scorecard'!P41</f>
        <v>0</v>
      </c>
    </row>
    <row r="39" spans="1:14" x14ac:dyDescent="0.35">
      <c r="A39" s="18">
        <f>'Weekly Scorecard'!C42</f>
        <v>44914</v>
      </c>
      <c r="B39" s="19">
        <f>'Weekly Scorecard'!D43</f>
        <v>0</v>
      </c>
      <c r="C39" s="20">
        <f>'Weekly Scorecard'!E42</f>
        <v>0</v>
      </c>
      <c r="D39" s="19">
        <f>'Weekly Scorecard'!F42</f>
        <v>0</v>
      </c>
      <c r="E39" s="19">
        <f>'Weekly Scorecard'!G42</f>
        <v>0</v>
      </c>
      <c r="F39" s="19">
        <f>'Weekly Scorecard'!H42</f>
        <v>0</v>
      </c>
      <c r="G39" s="19">
        <f>'Weekly Scorecard'!I42</f>
        <v>0</v>
      </c>
      <c r="H39" s="19">
        <f>'Weekly Scorecard'!J42</f>
        <v>0</v>
      </c>
      <c r="I39" s="19">
        <f>'Weekly Scorecard'!K42</f>
        <v>0</v>
      </c>
      <c r="J39" s="19">
        <f>'Weekly Scorecard'!L42</f>
        <v>0</v>
      </c>
      <c r="K39" s="19">
        <f>'Weekly Scorecard'!M42</f>
        <v>0</v>
      </c>
      <c r="L39" s="19">
        <f>'Weekly Scorecard'!N42</f>
        <v>0</v>
      </c>
      <c r="M39" s="19">
        <f>'Weekly Scorecard'!O42</f>
        <v>0</v>
      </c>
      <c r="N39" s="19">
        <f>'Weekly Scorecard'!P42</f>
        <v>0</v>
      </c>
    </row>
    <row r="40" spans="1:14" x14ac:dyDescent="0.35">
      <c r="A40" s="18">
        <f>'Weekly Scorecard'!C43</f>
        <v>44921</v>
      </c>
      <c r="B40" s="19">
        <f>'Weekly Scorecard'!D44</f>
        <v>0</v>
      </c>
      <c r="C40" s="20">
        <f>'Weekly Scorecard'!E43</f>
        <v>0</v>
      </c>
      <c r="D40" s="19">
        <f>'Weekly Scorecard'!F43</f>
        <v>0</v>
      </c>
      <c r="E40" s="19">
        <f>'Weekly Scorecard'!G43</f>
        <v>0</v>
      </c>
      <c r="F40" s="19">
        <f>'Weekly Scorecard'!H43</f>
        <v>0</v>
      </c>
      <c r="G40" s="19">
        <f>'Weekly Scorecard'!I43</f>
        <v>0</v>
      </c>
      <c r="H40" s="19">
        <f>'Weekly Scorecard'!J43</f>
        <v>0</v>
      </c>
      <c r="I40" s="19">
        <f>'Weekly Scorecard'!K43</f>
        <v>0</v>
      </c>
      <c r="J40" s="19">
        <f>'Weekly Scorecard'!L43</f>
        <v>0</v>
      </c>
      <c r="K40" s="19">
        <f>'Weekly Scorecard'!M43</f>
        <v>0</v>
      </c>
      <c r="L40" s="19">
        <f>'Weekly Scorecard'!N43</f>
        <v>0</v>
      </c>
      <c r="M40" s="19">
        <f>'Weekly Scorecard'!O43</f>
        <v>0</v>
      </c>
      <c r="N40" s="19">
        <f>'Weekly Scorecard'!P43</f>
        <v>0</v>
      </c>
    </row>
    <row r="41" spans="1:14" x14ac:dyDescent="0.35">
      <c r="A41" s="18">
        <f>'Weekly Scorecard'!C44</f>
        <v>44928</v>
      </c>
      <c r="B41" s="19">
        <f>'Weekly Scorecard'!D45</f>
        <v>0</v>
      </c>
      <c r="C41" s="20">
        <f>'Weekly Scorecard'!E44</f>
        <v>0</v>
      </c>
      <c r="D41" s="19">
        <f>'Weekly Scorecard'!F44</f>
        <v>0</v>
      </c>
      <c r="E41" s="19">
        <f>'Weekly Scorecard'!G44</f>
        <v>0</v>
      </c>
      <c r="F41" s="19">
        <f>'Weekly Scorecard'!H44</f>
        <v>0</v>
      </c>
      <c r="G41" s="19">
        <f>'Weekly Scorecard'!I44</f>
        <v>0</v>
      </c>
      <c r="H41" s="19">
        <f>'Weekly Scorecard'!J44</f>
        <v>0</v>
      </c>
      <c r="I41" s="19">
        <f>'Weekly Scorecard'!K44</f>
        <v>0</v>
      </c>
      <c r="J41" s="19">
        <f>'Weekly Scorecard'!L44</f>
        <v>0</v>
      </c>
      <c r="K41" s="19">
        <f>'Weekly Scorecard'!M44</f>
        <v>0</v>
      </c>
      <c r="L41" s="19">
        <f>'Weekly Scorecard'!N44</f>
        <v>0</v>
      </c>
      <c r="M41" s="19">
        <f>'Weekly Scorecard'!O44</f>
        <v>0</v>
      </c>
      <c r="N41" s="19">
        <f>'Weekly Scorecard'!P44</f>
        <v>0</v>
      </c>
    </row>
    <row r="42" spans="1:14" x14ac:dyDescent="0.35">
      <c r="A42" s="18">
        <f>'Weekly Scorecard'!C45</f>
        <v>44935</v>
      </c>
      <c r="B42" s="19">
        <f>'Weekly Scorecard'!D46</f>
        <v>0</v>
      </c>
      <c r="C42" s="20">
        <f>'Weekly Scorecard'!E45</f>
        <v>0</v>
      </c>
      <c r="D42" s="19">
        <f>'Weekly Scorecard'!F45</f>
        <v>0</v>
      </c>
      <c r="E42" s="19">
        <f>'Weekly Scorecard'!G45</f>
        <v>0</v>
      </c>
      <c r="F42" s="19">
        <f>'Weekly Scorecard'!H45</f>
        <v>0</v>
      </c>
      <c r="G42" s="19">
        <f>'Weekly Scorecard'!I45</f>
        <v>0</v>
      </c>
      <c r="H42" s="19">
        <f>'Weekly Scorecard'!J45</f>
        <v>0</v>
      </c>
      <c r="I42" s="19">
        <f>'Weekly Scorecard'!K45</f>
        <v>0</v>
      </c>
      <c r="J42" s="19">
        <f>'Weekly Scorecard'!L45</f>
        <v>0</v>
      </c>
      <c r="K42" s="19">
        <f>'Weekly Scorecard'!M45</f>
        <v>0</v>
      </c>
      <c r="L42" s="19">
        <f>'Weekly Scorecard'!N45</f>
        <v>0</v>
      </c>
      <c r="M42" s="19">
        <f>'Weekly Scorecard'!O45</f>
        <v>0</v>
      </c>
      <c r="N42" s="19">
        <f>'Weekly Scorecard'!P45</f>
        <v>0</v>
      </c>
    </row>
    <row r="43" spans="1:14" x14ac:dyDescent="0.35">
      <c r="A43" s="18">
        <f>'Weekly Scorecard'!C46</f>
        <v>44942</v>
      </c>
      <c r="B43" s="19">
        <f>'Weekly Scorecard'!D47</f>
        <v>0</v>
      </c>
      <c r="C43" s="20">
        <f>'Weekly Scorecard'!E46</f>
        <v>0</v>
      </c>
      <c r="D43" s="19">
        <f>'Weekly Scorecard'!F46</f>
        <v>0</v>
      </c>
      <c r="E43" s="19">
        <f>'Weekly Scorecard'!G46</f>
        <v>0</v>
      </c>
      <c r="F43" s="19">
        <f>'Weekly Scorecard'!H46</f>
        <v>0</v>
      </c>
      <c r="G43" s="19">
        <f>'Weekly Scorecard'!I46</f>
        <v>0</v>
      </c>
      <c r="H43" s="19">
        <f>'Weekly Scorecard'!J46</f>
        <v>0</v>
      </c>
      <c r="I43" s="19">
        <f>'Weekly Scorecard'!K46</f>
        <v>0</v>
      </c>
      <c r="J43" s="19">
        <f>'Weekly Scorecard'!L46</f>
        <v>0</v>
      </c>
      <c r="K43" s="19">
        <f>'Weekly Scorecard'!M46</f>
        <v>0</v>
      </c>
      <c r="L43" s="19">
        <f>'Weekly Scorecard'!N46</f>
        <v>0</v>
      </c>
      <c r="M43" s="19">
        <f>'Weekly Scorecard'!O46</f>
        <v>0</v>
      </c>
      <c r="N43" s="19">
        <f>'Weekly Scorecard'!P46</f>
        <v>0</v>
      </c>
    </row>
    <row r="44" spans="1:14" x14ac:dyDescent="0.35">
      <c r="A44" s="18">
        <f>'Weekly Scorecard'!C47</f>
        <v>44949</v>
      </c>
      <c r="B44" s="19">
        <f>'Weekly Scorecard'!D48</f>
        <v>0</v>
      </c>
      <c r="C44" s="20">
        <f>'Weekly Scorecard'!E47</f>
        <v>0</v>
      </c>
      <c r="D44" s="19">
        <f>'Weekly Scorecard'!F47</f>
        <v>0</v>
      </c>
      <c r="E44" s="19">
        <f>'Weekly Scorecard'!G47</f>
        <v>0</v>
      </c>
      <c r="F44" s="19">
        <f>'Weekly Scorecard'!H47</f>
        <v>0</v>
      </c>
      <c r="G44" s="19">
        <f>'Weekly Scorecard'!I47</f>
        <v>0</v>
      </c>
      <c r="H44" s="19">
        <f>'Weekly Scorecard'!J47</f>
        <v>0</v>
      </c>
      <c r="I44" s="19">
        <f>'Weekly Scorecard'!K47</f>
        <v>0</v>
      </c>
      <c r="J44" s="19">
        <f>'Weekly Scorecard'!L47</f>
        <v>0</v>
      </c>
      <c r="K44" s="19">
        <f>'Weekly Scorecard'!M47</f>
        <v>0</v>
      </c>
      <c r="L44" s="19">
        <f>'Weekly Scorecard'!N47</f>
        <v>0</v>
      </c>
      <c r="M44" s="19">
        <f>'Weekly Scorecard'!O47</f>
        <v>0</v>
      </c>
      <c r="N44" s="19">
        <f>'Weekly Scorecard'!P47</f>
        <v>0</v>
      </c>
    </row>
    <row r="45" spans="1:14" x14ac:dyDescent="0.35">
      <c r="A45" s="18">
        <f>'Weekly Scorecard'!C48</f>
        <v>44956</v>
      </c>
      <c r="B45" s="19">
        <f>'Weekly Scorecard'!D49</f>
        <v>0</v>
      </c>
      <c r="C45" s="20">
        <f>'Weekly Scorecard'!E48</f>
        <v>0</v>
      </c>
      <c r="D45" s="19">
        <f>'Weekly Scorecard'!F48</f>
        <v>0</v>
      </c>
      <c r="E45" s="19">
        <f>'Weekly Scorecard'!G48</f>
        <v>0</v>
      </c>
      <c r="F45" s="19">
        <f>'Weekly Scorecard'!H48</f>
        <v>0</v>
      </c>
      <c r="G45" s="19">
        <f>'Weekly Scorecard'!I48</f>
        <v>0</v>
      </c>
      <c r="H45" s="19">
        <f>'Weekly Scorecard'!J48</f>
        <v>0</v>
      </c>
      <c r="I45" s="19">
        <f>'Weekly Scorecard'!K48</f>
        <v>0</v>
      </c>
      <c r="J45" s="19">
        <f>'Weekly Scorecard'!L48</f>
        <v>0</v>
      </c>
      <c r="K45" s="19">
        <f>'Weekly Scorecard'!M48</f>
        <v>0</v>
      </c>
      <c r="L45" s="19">
        <f>'Weekly Scorecard'!N48</f>
        <v>0</v>
      </c>
      <c r="M45" s="19">
        <f>'Weekly Scorecard'!O48</f>
        <v>0</v>
      </c>
      <c r="N45" s="19">
        <f>'Weekly Scorecard'!P48</f>
        <v>0</v>
      </c>
    </row>
    <row r="46" spans="1:14" x14ac:dyDescent="0.35">
      <c r="A46" s="18">
        <f>'Weekly Scorecard'!C49</f>
        <v>44963</v>
      </c>
      <c r="B46" s="19">
        <f>'Weekly Scorecard'!D50</f>
        <v>0</v>
      </c>
      <c r="C46" s="20">
        <f>'Weekly Scorecard'!E49</f>
        <v>0</v>
      </c>
      <c r="D46" s="19">
        <f>'Weekly Scorecard'!F49</f>
        <v>0</v>
      </c>
      <c r="E46" s="19">
        <f>'Weekly Scorecard'!G49</f>
        <v>0</v>
      </c>
      <c r="F46" s="19">
        <f>'Weekly Scorecard'!H49</f>
        <v>0</v>
      </c>
      <c r="G46" s="19">
        <f>'Weekly Scorecard'!I49</f>
        <v>0</v>
      </c>
      <c r="H46" s="19">
        <f>'Weekly Scorecard'!J49</f>
        <v>0</v>
      </c>
      <c r="I46" s="19">
        <f>'Weekly Scorecard'!K49</f>
        <v>0</v>
      </c>
      <c r="J46" s="19">
        <f>'Weekly Scorecard'!L49</f>
        <v>0</v>
      </c>
      <c r="K46" s="19">
        <f>'Weekly Scorecard'!M49</f>
        <v>0</v>
      </c>
      <c r="L46" s="19">
        <f>'Weekly Scorecard'!N49</f>
        <v>0</v>
      </c>
      <c r="M46" s="19">
        <f>'Weekly Scorecard'!O49</f>
        <v>0</v>
      </c>
      <c r="N46" s="19">
        <f>'Weekly Scorecard'!P49</f>
        <v>0</v>
      </c>
    </row>
    <row r="47" spans="1:14" x14ac:dyDescent="0.35">
      <c r="A47" s="18">
        <f>'Weekly Scorecard'!C50</f>
        <v>44970</v>
      </c>
      <c r="B47" s="19">
        <f>'Weekly Scorecard'!D51</f>
        <v>0</v>
      </c>
      <c r="C47" s="20">
        <f>'Weekly Scorecard'!E50</f>
        <v>0</v>
      </c>
      <c r="D47" s="19">
        <f>'Weekly Scorecard'!F50</f>
        <v>0</v>
      </c>
      <c r="E47" s="19">
        <f>'Weekly Scorecard'!G50</f>
        <v>0</v>
      </c>
      <c r="F47" s="19">
        <f>'Weekly Scorecard'!H50</f>
        <v>0</v>
      </c>
      <c r="G47" s="19">
        <f>'Weekly Scorecard'!I50</f>
        <v>0</v>
      </c>
      <c r="H47" s="19">
        <f>'Weekly Scorecard'!J50</f>
        <v>0</v>
      </c>
      <c r="I47" s="19">
        <f>'Weekly Scorecard'!K50</f>
        <v>0</v>
      </c>
      <c r="J47" s="19">
        <f>'Weekly Scorecard'!L50</f>
        <v>0</v>
      </c>
      <c r="K47" s="19">
        <f>'Weekly Scorecard'!M50</f>
        <v>0</v>
      </c>
      <c r="L47" s="19">
        <f>'Weekly Scorecard'!N50</f>
        <v>0</v>
      </c>
      <c r="M47" s="19">
        <f>'Weekly Scorecard'!O50</f>
        <v>0</v>
      </c>
      <c r="N47" s="19">
        <f>'Weekly Scorecard'!P50</f>
        <v>0</v>
      </c>
    </row>
    <row r="48" spans="1:14" x14ac:dyDescent="0.35">
      <c r="A48" s="18">
        <f>'Weekly Scorecard'!C51</f>
        <v>44977</v>
      </c>
      <c r="B48" s="19">
        <f>'Weekly Scorecard'!D52</f>
        <v>0</v>
      </c>
      <c r="C48" s="20">
        <f>'Weekly Scorecard'!E51</f>
        <v>0</v>
      </c>
      <c r="D48" s="19">
        <f>'Weekly Scorecard'!F51</f>
        <v>0</v>
      </c>
      <c r="E48" s="19">
        <f>'Weekly Scorecard'!G51</f>
        <v>0</v>
      </c>
      <c r="F48" s="19">
        <f>'Weekly Scorecard'!H51</f>
        <v>0</v>
      </c>
      <c r="G48" s="19">
        <f>'Weekly Scorecard'!I51</f>
        <v>0</v>
      </c>
      <c r="H48" s="19">
        <f>'Weekly Scorecard'!J51</f>
        <v>0</v>
      </c>
      <c r="I48" s="19">
        <f>'Weekly Scorecard'!K51</f>
        <v>0</v>
      </c>
      <c r="J48" s="19">
        <f>'Weekly Scorecard'!L51</f>
        <v>0</v>
      </c>
      <c r="K48" s="19">
        <f>'Weekly Scorecard'!M51</f>
        <v>0</v>
      </c>
      <c r="L48" s="19">
        <f>'Weekly Scorecard'!N51</f>
        <v>0</v>
      </c>
      <c r="M48" s="19">
        <f>'Weekly Scorecard'!O51</f>
        <v>0</v>
      </c>
      <c r="N48" s="19">
        <f>'Weekly Scorecard'!P51</f>
        <v>0</v>
      </c>
    </row>
    <row r="49" spans="1:14" x14ac:dyDescent="0.35">
      <c r="A49" s="18">
        <f>'Weekly Scorecard'!C52</f>
        <v>44984</v>
      </c>
      <c r="B49" s="19">
        <f>'Weekly Scorecard'!D53</f>
        <v>0</v>
      </c>
      <c r="C49" s="20">
        <f>'Weekly Scorecard'!E52</f>
        <v>0</v>
      </c>
      <c r="D49" s="19">
        <f>'Weekly Scorecard'!F52</f>
        <v>0</v>
      </c>
      <c r="E49" s="19">
        <f>'Weekly Scorecard'!G52</f>
        <v>0</v>
      </c>
      <c r="F49" s="19">
        <f>'Weekly Scorecard'!H52</f>
        <v>0</v>
      </c>
      <c r="G49" s="19">
        <f>'Weekly Scorecard'!I52</f>
        <v>0</v>
      </c>
      <c r="H49" s="19">
        <f>'Weekly Scorecard'!J52</f>
        <v>0</v>
      </c>
      <c r="I49" s="19">
        <f>'Weekly Scorecard'!K52</f>
        <v>0</v>
      </c>
      <c r="J49" s="19">
        <f>'Weekly Scorecard'!L52</f>
        <v>0</v>
      </c>
      <c r="K49" s="19">
        <f>'Weekly Scorecard'!M52</f>
        <v>0</v>
      </c>
      <c r="L49" s="19">
        <f>'Weekly Scorecard'!N52</f>
        <v>0</v>
      </c>
      <c r="M49" s="19">
        <f>'Weekly Scorecard'!O52</f>
        <v>0</v>
      </c>
      <c r="N49" s="19">
        <f>'Weekly Scorecard'!P52</f>
        <v>0</v>
      </c>
    </row>
    <row r="50" spans="1:14" x14ac:dyDescent="0.35">
      <c r="A50" s="18">
        <f>'Weekly Scorecard'!C53</f>
        <v>44991</v>
      </c>
      <c r="B50" s="19">
        <f>'Weekly Scorecard'!D54</f>
        <v>0</v>
      </c>
      <c r="C50" s="20">
        <f>'Weekly Scorecard'!E53</f>
        <v>0</v>
      </c>
      <c r="D50" s="19">
        <f>'Weekly Scorecard'!F53</f>
        <v>0</v>
      </c>
      <c r="E50" s="19">
        <f>'Weekly Scorecard'!G53</f>
        <v>0</v>
      </c>
      <c r="F50" s="19">
        <f>'Weekly Scorecard'!H53</f>
        <v>0</v>
      </c>
      <c r="G50" s="19">
        <f>'Weekly Scorecard'!I53</f>
        <v>0</v>
      </c>
      <c r="H50" s="19">
        <f>'Weekly Scorecard'!J53</f>
        <v>0</v>
      </c>
      <c r="I50" s="19">
        <f>'Weekly Scorecard'!K53</f>
        <v>0</v>
      </c>
      <c r="J50" s="19">
        <f>'Weekly Scorecard'!L53</f>
        <v>0</v>
      </c>
      <c r="K50" s="19">
        <f>'Weekly Scorecard'!M53</f>
        <v>0</v>
      </c>
      <c r="L50" s="19">
        <f>'Weekly Scorecard'!N53</f>
        <v>0</v>
      </c>
      <c r="M50" s="19">
        <f>'Weekly Scorecard'!O53</f>
        <v>0</v>
      </c>
      <c r="N50" s="19">
        <f>'Weekly Scorecard'!P53</f>
        <v>0</v>
      </c>
    </row>
    <row r="51" spans="1:14" x14ac:dyDescent="0.35">
      <c r="A51" s="18">
        <f>'Weekly Scorecard'!C54</f>
        <v>44998</v>
      </c>
      <c r="B51" s="19">
        <f>'Weekly Scorecard'!D55</f>
        <v>0</v>
      </c>
      <c r="C51" s="20">
        <f>'Weekly Scorecard'!E54</f>
        <v>0</v>
      </c>
      <c r="D51" s="19">
        <f>'Weekly Scorecard'!F54</f>
        <v>0</v>
      </c>
      <c r="E51" s="19">
        <f>'Weekly Scorecard'!G54</f>
        <v>0</v>
      </c>
      <c r="F51" s="19">
        <f>'Weekly Scorecard'!H54</f>
        <v>0</v>
      </c>
      <c r="G51" s="19">
        <f>'Weekly Scorecard'!I54</f>
        <v>0</v>
      </c>
      <c r="H51" s="19">
        <f>'Weekly Scorecard'!J54</f>
        <v>0</v>
      </c>
      <c r="I51" s="19">
        <f>'Weekly Scorecard'!K54</f>
        <v>0</v>
      </c>
      <c r="J51" s="19">
        <f>'Weekly Scorecard'!L54</f>
        <v>0</v>
      </c>
      <c r="K51" s="19">
        <f>'Weekly Scorecard'!M54</f>
        <v>0</v>
      </c>
      <c r="L51" s="19">
        <f>'Weekly Scorecard'!N54</f>
        <v>0</v>
      </c>
      <c r="M51" s="19">
        <f>'Weekly Scorecard'!O54</f>
        <v>0</v>
      </c>
      <c r="N51" s="19">
        <f>'Weekly Scorecard'!P54</f>
        <v>0</v>
      </c>
    </row>
    <row r="52" spans="1:14" x14ac:dyDescent="0.35">
      <c r="A52" s="18">
        <f>'Weekly Scorecard'!C55</f>
        <v>45005</v>
      </c>
      <c r="B52" s="19">
        <f>'Weekly Scorecard'!D56</f>
        <v>0</v>
      </c>
      <c r="C52" s="20">
        <f>'Weekly Scorecard'!E55</f>
        <v>0</v>
      </c>
      <c r="D52" s="19">
        <f>'Weekly Scorecard'!F55</f>
        <v>0</v>
      </c>
      <c r="E52" s="19">
        <f>'Weekly Scorecard'!G55</f>
        <v>0</v>
      </c>
      <c r="F52" s="19">
        <f>'Weekly Scorecard'!H55</f>
        <v>0</v>
      </c>
      <c r="G52" s="19">
        <f>'Weekly Scorecard'!I55</f>
        <v>0</v>
      </c>
      <c r="H52" s="19">
        <f>'Weekly Scorecard'!J55</f>
        <v>0</v>
      </c>
      <c r="I52" s="19">
        <f>'Weekly Scorecard'!K55</f>
        <v>0</v>
      </c>
      <c r="J52" s="19">
        <f>'Weekly Scorecard'!L55</f>
        <v>0</v>
      </c>
      <c r="K52" s="19">
        <f>'Weekly Scorecard'!M55</f>
        <v>0</v>
      </c>
      <c r="L52" s="19">
        <f>'Weekly Scorecard'!N55</f>
        <v>0</v>
      </c>
      <c r="M52" s="19">
        <f>'Weekly Scorecard'!O55</f>
        <v>0</v>
      </c>
      <c r="N52" s="19">
        <f>'Weekly Scorecard'!P55</f>
        <v>0</v>
      </c>
    </row>
    <row r="53" spans="1:14" x14ac:dyDescent="0.35">
      <c r="A53" s="18">
        <f>'Weekly Scorecard'!C56</f>
        <v>45012</v>
      </c>
      <c r="B53" s="19">
        <f>'Weekly Scorecard'!D57</f>
        <v>0</v>
      </c>
      <c r="C53" s="20">
        <f>'Weekly Scorecard'!E56</f>
        <v>0</v>
      </c>
      <c r="D53" s="19">
        <f>'Weekly Scorecard'!F56</f>
        <v>0</v>
      </c>
      <c r="E53" s="19">
        <f>'Weekly Scorecard'!G56</f>
        <v>0</v>
      </c>
      <c r="F53" s="19">
        <f>'Weekly Scorecard'!H56</f>
        <v>0</v>
      </c>
      <c r="G53" s="19">
        <f>'Weekly Scorecard'!I56</f>
        <v>0</v>
      </c>
      <c r="H53" s="19">
        <f>'Weekly Scorecard'!J56</f>
        <v>0</v>
      </c>
      <c r="I53" s="19">
        <f>'Weekly Scorecard'!K56</f>
        <v>0</v>
      </c>
      <c r="J53" s="19">
        <f>'Weekly Scorecard'!L56</f>
        <v>0</v>
      </c>
      <c r="K53" s="19">
        <f>'Weekly Scorecard'!M56</f>
        <v>0</v>
      </c>
      <c r="L53" s="19">
        <f>'Weekly Scorecard'!N56</f>
        <v>0</v>
      </c>
      <c r="M53" s="19">
        <f>'Weekly Scorecard'!O56</f>
        <v>0</v>
      </c>
      <c r="N53" s="19">
        <f>'Weekly Scorecard'!P56</f>
        <v>0</v>
      </c>
    </row>
    <row r="54" spans="1:14" x14ac:dyDescent="0.35">
      <c r="A54" s="18">
        <f>'Weekly Scorecard'!C57</f>
        <v>45019</v>
      </c>
      <c r="B54" s="19">
        <f>'Weekly Scorecard'!D58</f>
        <v>0</v>
      </c>
      <c r="C54" s="20">
        <f>'Weekly Scorecard'!E57</f>
        <v>0</v>
      </c>
      <c r="D54" s="19">
        <f>'Weekly Scorecard'!F57</f>
        <v>0</v>
      </c>
      <c r="E54" s="19">
        <f>'Weekly Scorecard'!G57</f>
        <v>0</v>
      </c>
      <c r="F54" s="19">
        <f>'Weekly Scorecard'!H57</f>
        <v>0</v>
      </c>
      <c r="G54" s="19">
        <f>'Weekly Scorecard'!I57</f>
        <v>0</v>
      </c>
      <c r="H54" s="19">
        <f>'Weekly Scorecard'!J57</f>
        <v>0</v>
      </c>
      <c r="I54" s="19">
        <f>'Weekly Scorecard'!K57</f>
        <v>0</v>
      </c>
      <c r="J54" s="19">
        <f>'Weekly Scorecard'!L57</f>
        <v>0</v>
      </c>
      <c r="K54" s="19">
        <f>'Weekly Scorecard'!M57</f>
        <v>0</v>
      </c>
      <c r="L54" s="19">
        <f>'Weekly Scorecard'!N57</f>
        <v>0</v>
      </c>
      <c r="M54" s="19">
        <f>'Weekly Scorecard'!O57</f>
        <v>0</v>
      </c>
      <c r="N54" s="19">
        <f>'Weekly Scorecard'!P57</f>
        <v>0</v>
      </c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FD30-0E30-4D12-B4D6-AC5F5B8C8455}">
  <sheetPr>
    <tabColor theme="5"/>
  </sheetPr>
  <dimension ref="A1:K13"/>
  <sheetViews>
    <sheetView workbookViewId="0">
      <selection activeCell="C2" sqref="C2"/>
    </sheetView>
  </sheetViews>
  <sheetFormatPr defaultRowHeight="14.5" x14ac:dyDescent="0.35"/>
  <cols>
    <col min="1" max="1" width="18.36328125" bestFit="1" customWidth="1"/>
    <col min="4" max="4" width="22.36328125" bestFit="1" customWidth="1"/>
    <col min="5" max="5" width="16.08984375" bestFit="1" customWidth="1"/>
    <col min="6" max="6" width="17.08984375" bestFit="1" customWidth="1"/>
    <col min="7" max="7" width="13.453125" bestFit="1" customWidth="1"/>
    <col min="8" max="8" width="14.90625" bestFit="1" customWidth="1"/>
    <col min="9" max="9" width="17" bestFit="1" customWidth="1"/>
    <col min="10" max="10" width="11.6328125" bestFit="1" customWidth="1"/>
    <col min="11" max="11" width="15.08984375" bestFit="1" customWidth="1"/>
  </cols>
  <sheetData>
    <row r="1" spans="1:11" x14ac:dyDescent="0.35">
      <c r="A1" s="1" t="s">
        <v>96</v>
      </c>
      <c r="B1" s="1" t="s">
        <v>97</v>
      </c>
      <c r="C1" s="1" t="s">
        <v>98</v>
      </c>
      <c r="D1" s="1" t="s">
        <v>128</v>
      </c>
      <c r="E1" s="1" t="s">
        <v>129</v>
      </c>
      <c r="F1" s="29" t="s">
        <v>130</v>
      </c>
      <c r="G1" s="30" t="s">
        <v>131</v>
      </c>
      <c r="H1" s="1" t="s">
        <v>132</v>
      </c>
      <c r="I1" s="1" t="s">
        <v>133</v>
      </c>
      <c r="J1" s="1" t="s">
        <v>134</v>
      </c>
      <c r="K1" s="1" t="s">
        <v>135</v>
      </c>
    </row>
    <row r="2" spans="1:11" x14ac:dyDescent="0.35">
      <c r="A2" s="1" t="s">
        <v>11</v>
      </c>
      <c r="B2" s="25">
        <v>57</v>
      </c>
      <c r="C2" s="25">
        <f>SUM(Table3[[#This Row],[Partner1]:[Partner8]])</f>
        <v>38</v>
      </c>
      <c r="D2" s="1">
        <v>18</v>
      </c>
      <c r="E2" s="1">
        <v>18</v>
      </c>
      <c r="F2" s="1">
        <v>1</v>
      </c>
      <c r="G2" s="1">
        <v>1</v>
      </c>
      <c r="H2" s="1">
        <v>0</v>
      </c>
      <c r="I2" s="1">
        <v>0</v>
      </c>
      <c r="J2" s="1">
        <v>0</v>
      </c>
      <c r="K2" s="1">
        <v>0</v>
      </c>
    </row>
    <row r="3" spans="1:11" x14ac:dyDescent="0.35">
      <c r="A3" s="1" t="s">
        <v>12</v>
      </c>
      <c r="B3" s="26">
        <v>57</v>
      </c>
      <c r="C3" s="26">
        <f>SUM(Table3[[#This Row],[Partner1]:[Partner8]])</f>
        <v>39</v>
      </c>
      <c r="D3" s="1">
        <v>17</v>
      </c>
      <c r="E3" s="1">
        <v>21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0</v>
      </c>
    </row>
    <row r="4" spans="1:11" x14ac:dyDescent="0.35">
      <c r="A4" s="1" t="s">
        <v>13</v>
      </c>
      <c r="B4" s="26">
        <v>57</v>
      </c>
      <c r="C4" s="26">
        <f>SUM(Table3[[#This Row],[Partner1]:[Partner8]])</f>
        <v>46</v>
      </c>
      <c r="D4" s="1">
        <v>20</v>
      </c>
      <c r="E4" s="1">
        <v>24</v>
      </c>
      <c r="F4" s="1">
        <v>0</v>
      </c>
      <c r="G4" s="1">
        <v>2</v>
      </c>
      <c r="H4" s="1">
        <v>0</v>
      </c>
      <c r="I4" s="1">
        <v>0</v>
      </c>
      <c r="J4" s="1">
        <v>0</v>
      </c>
      <c r="K4" s="1">
        <v>0</v>
      </c>
    </row>
    <row r="5" spans="1:11" x14ac:dyDescent="0.35">
      <c r="A5" s="1" t="s">
        <v>14</v>
      </c>
      <c r="B5" s="26">
        <v>73</v>
      </c>
      <c r="C5" s="26">
        <f>SUM(Table3[[#This Row],[Partner1]:[Partner8]])</f>
        <v>46</v>
      </c>
      <c r="D5" s="1">
        <v>21</v>
      </c>
      <c r="E5" s="1">
        <v>23</v>
      </c>
      <c r="F5" s="1">
        <v>0</v>
      </c>
      <c r="G5" s="1">
        <v>1</v>
      </c>
      <c r="H5" s="1">
        <v>0</v>
      </c>
      <c r="I5" s="1">
        <v>0</v>
      </c>
      <c r="J5" s="1">
        <v>1</v>
      </c>
      <c r="K5" s="1">
        <v>0</v>
      </c>
    </row>
    <row r="6" spans="1:11" x14ac:dyDescent="0.35">
      <c r="A6" s="1" t="s">
        <v>15</v>
      </c>
      <c r="B6" s="26">
        <v>73</v>
      </c>
      <c r="C6" s="26">
        <f>SUM(Table3[[#This Row],[Partner1]:[Partner8]])</f>
        <v>50</v>
      </c>
      <c r="D6" s="1">
        <v>21</v>
      </c>
      <c r="E6" s="1">
        <v>24</v>
      </c>
      <c r="F6" s="1">
        <v>0</v>
      </c>
      <c r="G6" s="1">
        <v>1</v>
      </c>
      <c r="H6" s="1">
        <v>0</v>
      </c>
      <c r="I6" s="1">
        <v>0</v>
      </c>
      <c r="J6" s="1">
        <v>4</v>
      </c>
      <c r="K6" s="1">
        <v>0</v>
      </c>
    </row>
    <row r="7" spans="1:11" x14ac:dyDescent="0.35">
      <c r="A7" s="1" t="s">
        <v>16</v>
      </c>
      <c r="B7" s="26">
        <v>73</v>
      </c>
      <c r="C7" s="26">
        <f>SUM(Table3[[#This Row],[Partner1]:[Partner8]])</f>
        <v>53</v>
      </c>
      <c r="D7" s="1">
        <v>23</v>
      </c>
      <c r="E7" s="1">
        <v>25</v>
      </c>
      <c r="F7" s="1">
        <v>0</v>
      </c>
      <c r="G7" s="1">
        <v>1</v>
      </c>
      <c r="H7" s="1">
        <v>0</v>
      </c>
      <c r="I7" s="1">
        <v>0</v>
      </c>
      <c r="J7" s="1">
        <v>4</v>
      </c>
      <c r="K7" s="1">
        <v>0</v>
      </c>
    </row>
    <row r="8" spans="1:11" x14ac:dyDescent="0.35">
      <c r="A8" s="1" t="s">
        <v>17</v>
      </c>
      <c r="B8" s="26">
        <v>94</v>
      </c>
      <c r="C8" s="26">
        <f>SUM(Table3[[#This Row],[Partner1]:[Partner8]])</f>
        <v>53</v>
      </c>
      <c r="D8" s="1">
        <v>23</v>
      </c>
      <c r="E8" s="1">
        <v>25</v>
      </c>
      <c r="F8" s="1">
        <v>0</v>
      </c>
      <c r="G8" s="1">
        <v>1</v>
      </c>
      <c r="H8" s="1">
        <v>0</v>
      </c>
      <c r="I8" s="1">
        <v>0</v>
      </c>
      <c r="J8" s="1">
        <v>4</v>
      </c>
      <c r="K8" s="1">
        <v>0</v>
      </c>
    </row>
    <row r="9" spans="1:11" x14ac:dyDescent="0.35">
      <c r="A9" s="1" t="s">
        <v>18</v>
      </c>
      <c r="B9" s="26">
        <v>94</v>
      </c>
      <c r="C9" s="26">
        <f>SUM(Table3[[#This Row],[Partner1]:[Partner8]])</f>
        <v>51</v>
      </c>
      <c r="D9" s="1">
        <v>22</v>
      </c>
      <c r="E9" s="1">
        <v>24</v>
      </c>
      <c r="F9" s="1">
        <v>0</v>
      </c>
      <c r="G9" s="1">
        <v>1</v>
      </c>
      <c r="H9" s="1">
        <v>0</v>
      </c>
      <c r="I9" s="1">
        <v>0</v>
      </c>
      <c r="J9" s="1">
        <v>4</v>
      </c>
      <c r="K9" s="1">
        <v>0</v>
      </c>
    </row>
    <row r="10" spans="1:11" x14ac:dyDescent="0.35">
      <c r="A10" s="1" t="s">
        <v>19</v>
      </c>
      <c r="B10" s="26">
        <v>94</v>
      </c>
      <c r="C10" s="26">
        <f>SUM(Table3[[#This Row],[Partner1]:[Partner8]])</f>
        <v>0</v>
      </c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 t="s">
        <v>20</v>
      </c>
      <c r="B11" s="26">
        <v>122</v>
      </c>
      <c r="C11" s="26">
        <f>SUM(Table3[[#This Row],[Partner1]:[Partner8]])</f>
        <v>0</v>
      </c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" t="s">
        <v>21</v>
      </c>
      <c r="B12" s="26">
        <v>122</v>
      </c>
      <c r="C12" s="26">
        <f>SUM(Table3[[#This Row],[Partner1]:[Partner8]])</f>
        <v>0</v>
      </c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22</v>
      </c>
      <c r="B13" s="26">
        <v>122</v>
      </c>
      <c r="C13" s="26">
        <f>SUM(Table3[[#This Row],[Partner1]:[Partner8]])</f>
        <v>0</v>
      </c>
      <c r="D13" s="1"/>
      <c r="E13" s="1"/>
      <c r="F13" s="1"/>
      <c r="G13" s="1"/>
      <c r="H13" s="1"/>
      <c r="I13" s="1"/>
      <c r="J13" s="1"/>
      <c r="K13" s="1"/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296F-9183-4969-8095-51D1C9E8C5F7}">
  <sheetPr>
    <tabColor theme="5"/>
  </sheetPr>
  <dimension ref="A1:B12"/>
  <sheetViews>
    <sheetView workbookViewId="0">
      <selection activeCell="B1" sqref="B1"/>
    </sheetView>
  </sheetViews>
  <sheetFormatPr defaultRowHeight="14.5" x14ac:dyDescent="0.35"/>
  <cols>
    <col min="2" max="2" width="45.6328125" customWidth="1"/>
  </cols>
  <sheetData>
    <row r="1" spans="1:2" x14ac:dyDescent="0.35">
      <c r="A1" t="s">
        <v>99</v>
      </c>
      <c r="B1" t="s">
        <v>136</v>
      </c>
    </row>
    <row r="2" spans="1:2" x14ac:dyDescent="0.35">
      <c r="A2" s="18" t="s">
        <v>100</v>
      </c>
      <c r="B2" s="28">
        <v>19700</v>
      </c>
    </row>
    <row r="3" spans="1:2" x14ac:dyDescent="0.35">
      <c r="A3" s="18" t="s">
        <v>101</v>
      </c>
      <c r="B3" s="28">
        <v>1192900</v>
      </c>
    </row>
    <row r="4" spans="1:2" x14ac:dyDescent="0.35">
      <c r="A4" s="18" t="s">
        <v>102</v>
      </c>
      <c r="B4" s="28">
        <v>634000</v>
      </c>
    </row>
    <row r="5" spans="1:2" x14ac:dyDescent="0.35">
      <c r="A5" s="18" t="s">
        <v>103</v>
      </c>
      <c r="B5" s="28">
        <v>24800</v>
      </c>
    </row>
    <row r="6" spans="1:2" x14ac:dyDescent="0.35">
      <c r="A6" s="18" t="s">
        <v>12</v>
      </c>
      <c r="B6" s="28">
        <v>980010</v>
      </c>
    </row>
    <row r="7" spans="1:2" x14ac:dyDescent="0.35">
      <c r="A7" s="18" t="s">
        <v>104</v>
      </c>
      <c r="B7" s="28">
        <v>169900</v>
      </c>
    </row>
    <row r="8" spans="1:2" x14ac:dyDescent="0.35">
      <c r="A8" s="18" t="s">
        <v>105</v>
      </c>
      <c r="B8" s="28">
        <v>223369</v>
      </c>
    </row>
    <row r="9" spans="1:2" x14ac:dyDescent="0.35">
      <c r="A9" s="18" t="s">
        <v>106</v>
      </c>
      <c r="B9" s="28">
        <v>22000</v>
      </c>
    </row>
    <row r="10" spans="1:2" x14ac:dyDescent="0.35">
      <c r="A10" s="18" t="s">
        <v>107</v>
      </c>
      <c r="B10" s="28">
        <v>729596</v>
      </c>
    </row>
    <row r="11" spans="1:2" x14ac:dyDescent="0.35">
      <c r="A11" s="18" t="s">
        <v>108</v>
      </c>
      <c r="B11" s="28">
        <v>394619</v>
      </c>
    </row>
    <row r="12" spans="1:2" x14ac:dyDescent="0.35">
      <c r="A12" s="18" t="s">
        <v>115</v>
      </c>
      <c r="B12" s="28">
        <v>541250</v>
      </c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F9CD-773C-461B-9D79-742B8D6587BC}">
  <sheetPr>
    <tabColor theme="5"/>
  </sheetPr>
  <dimension ref="A1:C10"/>
  <sheetViews>
    <sheetView workbookViewId="0">
      <selection activeCell="C9" sqref="C9"/>
    </sheetView>
  </sheetViews>
  <sheetFormatPr defaultRowHeight="14.5" x14ac:dyDescent="0.35"/>
  <cols>
    <col min="2" max="2" width="26.453125" customWidth="1"/>
    <col min="3" max="3" width="14.90625" bestFit="1" customWidth="1"/>
  </cols>
  <sheetData>
    <row r="1" spans="1:3" ht="14.5" customHeight="1" x14ac:dyDescent="0.35">
      <c r="A1" t="s">
        <v>99</v>
      </c>
      <c r="B1" s="27" t="s">
        <v>109</v>
      </c>
      <c r="C1" t="s">
        <v>110</v>
      </c>
    </row>
    <row r="2" spans="1:3" x14ac:dyDescent="0.35">
      <c r="A2" t="s">
        <v>11</v>
      </c>
      <c r="B2" s="11">
        <f>'Monthly Scorecard'!E5</f>
        <v>6453300</v>
      </c>
      <c r="C2" s="28">
        <v>12800000</v>
      </c>
    </row>
    <row r="3" spans="1:3" x14ac:dyDescent="0.35">
      <c r="A3" t="s">
        <v>12</v>
      </c>
      <c r="B3" s="11">
        <f>'Monthly Scorecard'!E6</f>
        <v>2781275</v>
      </c>
      <c r="C3" s="28">
        <v>12800000</v>
      </c>
    </row>
    <row r="4" spans="1:3" x14ac:dyDescent="0.35">
      <c r="A4" t="s">
        <v>13</v>
      </c>
      <c r="B4" s="11">
        <f>'Monthly Scorecard'!E7</f>
        <v>24312777</v>
      </c>
      <c r="C4" s="28">
        <v>12800000</v>
      </c>
    </row>
    <row r="5" spans="1:3" x14ac:dyDescent="0.35">
      <c r="A5" t="s">
        <v>14</v>
      </c>
      <c r="B5" s="67">
        <f>'Monthly Scorecard'!E8</f>
        <v>15944662</v>
      </c>
      <c r="C5" s="28">
        <v>12800000</v>
      </c>
    </row>
    <row r="6" spans="1:3" x14ac:dyDescent="0.35">
      <c r="A6" t="s">
        <v>15</v>
      </c>
      <c r="B6" s="67">
        <f>'Monthly Scorecard'!E9</f>
        <v>18838542</v>
      </c>
      <c r="C6" s="28">
        <v>12800000</v>
      </c>
    </row>
    <row r="7" spans="1:3" x14ac:dyDescent="0.35">
      <c r="A7" t="s">
        <v>16</v>
      </c>
      <c r="B7" s="67">
        <f>'Monthly Scorecard'!E10</f>
        <v>18667052</v>
      </c>
      <c r="C7" s="28">
        <v>18667052</v>
      </c>
    </row>
    <row r="8" spans="1:3" x14ac:dyDescent="0.35">
      <c r="A8" t="s">
        <v>17</v>
      </c>
      <c r="B8" s="67">
        <f>'Monthly Scorecard'!E11</f>
        <v>19233128</v>
      </c>
      <c r="C8" s="67">
        <f>'Monthly Scorecard'!F11</f>
        <v>5585597</v>
      </c>
    </row>
    <row r="9" spans="1:3" x14ac:dyDescent="0.35">
      <c r="A9" t="s">
        <v>18</v>
      </c>
      <c r="B9" s="67">
        <f>'Monthly Scorecard'!E12</f>
        <v>21395490</v>
      </c>
      <c r="C9" s="67">
        <f>'Monthly Scorecard'!F12</f>
        <v>6047645.4202898555</v>
      </c>
    </row>
    <row r="10" spans="1:3" x14ac:dyDescent="0.35">
      <c r="A10" t="s">
        <v>19</v>
      </c>
      <c r="B10" s="67">
        <f>'Monthly Scorecard'!E13</f>
        <v>0</v>
      </c>
      <c r="C10" s="67">
        <f>'Monthly Scorecard'!F13</f>
        <v>0</v>
      </c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5850-EA6B-4F1E-885F-737E437FEA05}">
  <sheetPr>
    <tabColor theme="5" tint="0.59999389629810485"/>
  </sheetPr>
  <dimension ref="A1:B10"/>
  <sheetViews>
    <sheetView workbookViewId="0">
      <selection activeCell="B2" sqref="B2"/>
    </sheetView>
  </sheetViews>
  <sheetFormatPr defaultRowHeight="14.5" x14ac:dyDescent="0.35"/>
  <cols>
    <col min="1" max="1" width="12.6328125" bestFit="1" customWidth="1"/>
    <col min="2" max="2" width="51.90625" bestFit="1" customWidth="1"/>
    <col min="4" max="4" width="7.90625" bestFit="1" customWidth="1"/>
    <col min="5" max="5" width="6.90625" bestFit="1" customWidth="1"/>
    <col min="6" max="7" width="7.90625" bestFit="1" customWidth="1"/>
    <col min="8" max="8" width="11.08984375" bestFit="1" customWidth="1"/>
  </cols>
  <sheetData>
    <row r="1" spans="1:2" x14ac:dyDescent="0.35">
      <c r="A1" s="22" t="s">
        <v>111</v>
      </c>
      <c r="B1" t="s">
        <v>137</v>
      </c>
    </row>
    <row r="2" spans="1:2" x14ac:dyDescent="0.35">
      <c r="A2" s="24" t="s">
        <v>115</v>
      </c>
      <c r="B2">
        <v>541250</v>
      </c>
    </row>
    <row r="3" spans="1:2" x14ac:dyDescent="0.35">
      <c r="A3" s="24" t="s">
        <v>108</v>
      </c>
      <c r="B3">
        <v>394619</v>
      </c>
    </row>
    <row r="4" spans="1:2" x14ac:dyDescent="0.35">
      <c r="A4" s="24" t="s">
        <v>107</v>
      </c>
      <c r="B4">
        <v>729596</v>
      </c>
    </row>
    <row r="5" spans="1:2" x14ac:dyDescent="0.35">
      <c r="A5" s="24" t="s">
        <v>106</v>
      </c>
      <c r="B5">
        <v>22000</v>
      </c>
    </row>
    <row r="6" spans="1:2" x14ac:dyDescent="0.35">
      <c r="A6" s="24" t="s">
        <v>105</v>
      </c>
      <c r="B6">
        <v>223369</v>
      </c>
    </row>
    <row r="7" spans="1:2" x14ac:dyDescent="0.35">
      <c r="A7" s="24" t="s">
        <v>104</v>
      </c>
      <c r="B7">
        <v>169900</v>
      </c>
    </row>
    <row r="8" spans="1:2" x14ac:dyDescent="0.35">
      <c r="A8" s="24" t="s">
        <v>12</v>
      </c>
      <c r="B8">
        <v>980010</v>
      </c>
    </row>
    <row r="9" spans="1:2" x14ac:dyDescent="0.35">
      <c r="A9" s="24" t="s">
        <v>103</v>
      </c>
      <c r="B9">
        <v>24800</v>
      </c>
    </row>
    <row r="10" spans="1:2" x14ac:dyDescent="0.35">
      <c r="A10" s="24" t="s">
        <v>112</v>
      </c>
      <c r="B10">
        <v>3085544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457E-4BFD-4AE3-821D-BE05385EF4CB}">
  <sheetPr>
    <tabColor theme="5" tint="0.79998168889431442"/>
  </sheetPr>
  <dimension ref="A1:C10"/>
  <sheetViews>
    <sheetView workbookViewId="0">
      <selection activeCell="C4" sqref="C4"/>
    </sheetView>
  </sheetViews>
  <sheetFormatPr defaultRowHeight="14.5" x14ac:dyDescent="0.35"/>
  <cols>
    <col min="1" max="1" width="12.6328125" bestFit="1" customWidth="1"/>
    <col min="2" max="2" width="14.90625" bestFit="1" customWidth="1"/>
    <col min="3" max="3" width="15" bestFit="1" customWidth="1"/>
  </cols>
  <sheetData>
    <row r="1" spans="1:3" x14ac:dyDescent="0.35">
      <c r="A1" s="22" t="s">
        <v>111</v>
      </c>
      <c r="B1" t="s">
        <v>113</v>
      </c>
      <c r="C1" t="s">
        <v>114</v>
      </c>
    </row>
    <row r="2" spans="1:3" x14ac:dyDescent="0.35">
      <c r="A2" s="23" t="s">
        <v>103</v>
      </c>
      <c r="B2">
        <v>1</v>
      </c>
      <c r="C2">
        <v>10</v>
      </c>
    </row>
    <row r="3" spans="1:3" x14ac:dyDescent="0.35">
      <c r="A3" s="23" t="s">
        <v>12</v>
      </c>
      <c r="B3">
        <v>4</v>
      </c>
      <c r="C3">
        <v>22</v>
      </c>
    </row>
    <row r="4" spans="1:3" x14ac:dyDescent="0.35">
      <c r="A4" s="23" t="s">
        <v>104</v>
      </c>
      <c r="B4">
        <v>4</v>
      </c>
      <c r="C4">
        <v>26</v>
      </c>
    </row>
    <row r="5" spans="1:3" x14ac:dyDescent="0.35">
      <c r="A5" s="23" t="s">
        <v>105</v>
      </c>
      <c r="B5">
        <v>8</v>
      </c>
      <c r="C5">
        <v>35</v>
      </c>
    </row>
    <row r="6" spans="1:3" x14ac:dyDescent="0.35">
      <c r="A6" s="23" t="s">
        <v>106</v>
      </c>
      <c r="B6">
        <v>10</v>
      </c>
      <c r="C6">
        <v>39</v>
      </c>
    </row>
    <row r="7" spans="1:3" x14ac:dyDescent="0.35">
      <c r="A7" s="23" t="s">
        <v>107</v>
      </c>
      <c r="B7">
        <v>10</v>
      </c>
      <c r="C7">
        <v>39</v>
      </c>
    </row>
    <row r="8" spans="1:3" x14ac:dyDescent="0.35">
      <c r="A8" s="23" t="s">
        <v>108</v>
      </c>
      <c r="B8">
        <v>10</v>
      </c>
      <c r="C8">
        <v>41</v>
      </c>
    </row>
    <row r="9" spans="1:3" x14ac:dyDescent="0.35">
      <c r="A9" s="23" t="s">
        <v>115</v>
      </c>
      <c r="B9">
        <v>12</v>
      </c>
      <c r="C9">
        <v>44</v>
      </c>
    </row>
    <row r="10" spans="1:3" x14ac:dyDescent="0.35">
      <c r="A10" s="23" t="s">
        <v>112</v>
      </c>
      <c r="B10">
        <v>12</v>
      </c>
      <c r="C10">
        <v>44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1217FB2028A41AEC3B6667F3095D0" ma:contentTypeVersion="11" ma:contentTypeDescription="Create a new document." ma:contentTypeScope="" ma:versionID="631cec3f3a07dd211cfa4d4a56cb1015">
  <xsd:schema xmlns:xsd="http://www.w3.org/2001/XMLSchema" xmlns:xs="http://www.w3.org/2001/XMLSchema" xmlns:p="http://schemas.microsoft.com/office/2006/metadata/properties" xmlns:ns2="45184665-4413-4673-b3ef-9e957c2b795c" xmlns:ns3="116250eb-16e6-4866-807b-b4992bf8a581" targetNamespace="http://schemas.microsoft.com/office/2006/metadata/properties" ma:root="true" ma:fieldsID="7f870bdde24e6fcc7870612eae401e2d" ns2:_="" ns3:_="">
    <xsd:import namespace="45184665-4413-4673-b3ef-9e957c2b795c"/>
    <xsd:import namespace="116250eb-16e6-4866-807b-b4992bf8a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84665-4413-4673-b3ef-9e957c2b7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ec1141b-1cfb-4c66-b3da-bcd0f39580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250eb-16e6-4866-807b-b4992bf8a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1861f7-4161-4712-8f31-6179d31b996f}" ma:internalName="TaxCatchAll" ma:showField="CatchAllData" ma:web="116250eb-16e6-4866-807b-b4992bf8a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184665-4413-4673-b3ef-9e957c2b795c">
      <Terms xmlns="http://schemas.microsoft.com/office/infopath/2007/PartnerControls"/>
    </lcf76f155ced4ddcb4097134ff3c332f>
    <TaxCatchAll xmlns="116250eb-16e6-4866-807b-b4992bf8a581" xsi:nil="true"/>
  </documentManagement>
</p:properties>
</file>

<file path=customXml/itemProps1.xml><?xml version="1.0" encoding="utf-8"?>
<ds:datastoreItem xmlns:ds="http://schemas.openxmlformats.org/officeDocument/2006/customXml" ds:itemID="{E6A855D4-6327-44BB-9E2F-813AB208B6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57F37-C39E-494D-AA3F-5E0F60394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84665-4413-4673-b3ef-9e957c2b795c"/>
    <ds:schemaRef ds:uri="116250eb-16e6-4866-807b-b4992bf8a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507D4D-4C48-4272-8D80-1CE86F0DC5ED}">
  <ds:schemaRefs>
    <ds:schemaRef ds:uri="http://schemas.openxmlformats.org/package/2006/metadata/core-properties"/>
    <ds:schemaRef ds:uri="http://purl.org/dc/dcmitype/"/>
    <ds:schemaRef ds:uri="http://purl.org/dc/elements/1.1/"/>
    <ds:schemaRef ds:uri="116250eb-16e6-4866-807b-b4992bf8a581"/>
    <ds:schemaRef ds:uri="45184665-4413-4673-b3ef-9e957c2b795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db74b30-9568-4856-bdbf-06759778fcbc}" enabled="0" method="" siteId="{bdb74b30-9568-4856-bdbf-06759778fc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Charts</vt:lpstr>
      </vt:variant>
      <vt:variant>
        <vt:i4>1</vt:i4>
      </vt:variant>
    </vt:vector>
  </HeadingPairs>
  <TitlesOfParts>
    <vt:vector size="13" baseType="lpstr">
      <vt:lpstr>Quarterly Goals</vt:lpstr>
      <vt:lpstr>Weekly Scorecard</vt:lpstr>
      <vt:lpstr>Monthly Scorecard</vt:lpstr>
      <vt:lpstr>Weekly Raw Data</vt:lpstr>
      <vt:lpstr>Conversations</vt:lpstr>
      <vt:lpstr>Sales orders by CD</vt:lpstr>
      <vt:lpstr>Unweighted pipeline</vt:lpstr>
      <vt:lpstr>Sales orders by CD Chart</vt:lpstr>
      <vt:lpstr>Intros Chart</vt:lpstr>
      <vt:lpstr>SQLs Chart</vt:lpstr>
      <vt:lpstr>Convos chart</vt:lpstr>
      <vt:lpstr>Unweighted pipeline chart</vt:lpstr>
      <vt:lpstr>ChartWeighted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Montero</dc:creator>
  <cp:keywords/>
  <dc:description/>
  <cp:lastModifiedBy>Joseph O'Mahoney</cp:lastModifiedBy>
  <cp:revision/>
  <dcterms:created xsi:type="dcterms:W3CDTF">2015-06-05T18:17:20Z</dcterms:created>
  <dcterms:modified xsi:type="dcterms:W3CDTF">2023-12-04T12:51:42Z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0x010100D6D1217FB2028A41AEC3B6667F3095D0</vt:lpwstr>
  </property>
  <property fmtid="{D5CDD505-2E9C-101B-9397-08002B2CF9AE}" pid="3" name="MSIP_Label_448d8334-3c23-42e0-9169-77bf0076b986_Enabled">
    <vt:lpwstr>true</vt:lpwstr>
  </property>
  <property fmtid="{D5CDD505-2E9C-101B-9397-08002B2CF9AE}" pid="4" name="MSIP_Label_448d8334-3c23-42e0-9169-77bf0076b986_SetDate">
    <vt:lpwstr>2022-04-11T09:48:01Z</vt:lpwstr>
  </property>
  <property fmtid="{D5CDD505-2E9C-101B-9397-08002B2CF9AE}" pid="5" name="MSIP_Label_448d8334-3c23-42e0-9169-77bf0076b986_Method">
    <vt:lpwstr>Privileged</vt:lpwstr>
  </property>
  <property fmtid="{D5CDD505-2E9C-101B-9397-08002B2CF9AE}" pid="6" name="MSIP_Label_448d8334-3c23-42e0-9169-77bf0076b986_Name">
    <vt:lpwstr>Capacitas Internal</vt:lpwstr>
  </property>
  <property fmtid="{D5CDD505-2E9C-101B-9397-08002B2CF9AE}" pid="7" name="MSIP_Label_448d8334-3c23-42e0-9169-77bf0076b986_SiteId">
    <vt:lpwstr>9ba3295d-cd01-4c5f-947e-b5526a904daf</vt:lpwstr>
  </property>
  <property fmtid="{D5CDD505-2E9C-101B-9397-08002B2CF9AE}" pid="8" name="MSIP_Label_448d8334-3c23-42e0-9169-77bf0076b986_ActionId">
    <vt:lpwstr>f095085a-4da5-4901-b8a1-cd1d9e896725</vt:lpwstr>
  </property>
  <property fmtid="{D5CDD505-2E9C-101B-9397-08002B2CF9AE}" pid="9" name="MSIP_Label_448d8334-3c23-42e0-9169-77bf0076b986_ContentBits">
    <vt:lpwstr>1</vt:lpwstr>
  </property>
  <property fmtid="{D5CDD505-2E9C-101B-9397-08002B2CF9AE}" pid="10" name="MediaServiceImageTags">
    <vt:lpwstr/>
  </property>
</Properties>
</file>